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2.xml" ContentType="application/vnd.ms-excel.controlproperties+xml"/>
  <Override PartName="/xl/ctrlProps/ctrlProp1.xml" ContentType="application/vnd.ms-excel.contro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trlProps/ctrlProp3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1 BEVOELKERUNG\Bevölkerung - Strukturerhebung\2023\"/>
    </mc:Choice>
  </mc:AlternateContent>
  <workbookProtection lockStructure="1"/>
  <bookViews>
    <workbookView xWindow="-120" yWindow="-120" windowWidth="29040" windowHeight="15720"/>
  </bookViews>
  <sheets>
    <sheet name="2023" sheetId="1" r:id="rId1"/>
    <sheet name="Uebersetzungen" sheetId="2" state="hidden" r:id="rId2"/>
  </sheets>
  <calcPr calcId="162913"/>
</workbook>
</file>

<file path=xl/calcChain.xml><?xml version="1.0" encoding="utf-8"?>
<calcChain xmlns="http://schemas.openxmlformats.org/spreadsheetml/2006/main">
  <c r="A54" i="1" l="1"/>
  <c r="B44" i="1" l="1"/>
  <c r="A57" i="1" l="1"/>
  <c r="I14" i="1"/>
  <c r="E14" i="1"/>
  <c r="C14" i="1"/>
  <c r="B47" i="1" l="1"/>
  <c r="B48" i="1"/>
  <c r="B46" i="1"/>
  <c r="B45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A16" i="1"/>
  <c r="A50" i="1"/>
  <c r="A46" i="1"/>
  <c r="A35" i="1"/>
  <c r="A32" i="1"/>
  <c r="A27" i="1"/>
  <c r="A22" i="1"/>
  <c r="A18" i="1"/>
  <c r="A15" i="1"/>
  <c r="A56" i="1"/>
  <c r="A51" i="1"/>
  <c r="U13" i="1"/>
  <c r="S13" i="1"/>
  <c r="Q13" i="1"/>
  <c r="O13" i="1"/>
  <c r="M13" i="1"/>
  <c r="K13" i="1"/>
  <c r="I13" i="1"/>
  <c r="G13" i="1"/>
  <c r="E13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H14" i="1"/>
  <c r="G14" i="1"/>
  <c r="F14" i="1"/>
  <c r="D14" i="1"/>
  <c r="C13" i="1"/>
  <c r="A10" i="1"/>
  <c r="A9" i="1"/>
  <c r="A7" i="1"/>
  <c r="A52" i="1" l="1"/>
  <c r="A53" i="1"/>
</calcChain>
</file>

<file path=xl/sharedStrings.xml><?xml version="1.0" encoding="utf-8"?>
<sst xmlns="http://schemas.openxmlformats.org/spreadsheetml/2006/main" count="521" uniqueCount="250">
  <si>
    <t>Total</t>
  </si>
  <si>
    <t>Geschlecht</t>
  </si>
  <si>
    <t>Männer</t>
  </si>
  <si>
    <t>Frauen</t>
  </si>
  <si>
    <t>Alter</t>
  </si>
  <si>
    <t>15-24</t>
  </si>
  <si>
    <t>25-44</t>
  </si>
  <si>
    <t>45-64</t>
  </si>
  <si>
    <t>65 und mehr</t>
  </si>
  <si>
    <t>Staatsangehörigkeit</t>
  </si>
  <si>
    <t>Schweiz</t>
  </si>
  <si>
    <t>Anderer europäischer Staat</t>
  </si>
  <si>
    <t>Aussereuropäischer Staat</t>
  </si>
  <si>
    <t>Migrationsstatus</t>
  </si>
  <si>
    <t>Schweizer/innen ohne Migrationshintergrund</t>
  </si>
  <si>
    <t>Schweizer/innen mit Migrationshintergrund</t>
  </si>
  <si>
    <t>Ausländer/innen der ersten Generation</t>
  </si>
  <si>
    <t>Ausländer/innen der zweiten und höheren Generation</t>
  </si>
  <si>
    <t>Migrationshintergrund unbekannt</t>
  </si>
  <si>
    <t>Arbeitsmarktstatus</t>
  </si>
  <si>
    <t>Erwerbstätige</t>
  </si>
  <si>
    <t>Erwerbslose</t>
  </si>
  <si>
    <t>Nichterwerbspersonen</t>
  </si>
  <si>
    <t>Oberstes Management</t>
  </si>
  <si>
    <t>Freie und gleichgestellte Berufe</t>
  </si>
  <si>
    <t>Andere Selbstständige</t>
  </si>
  <si>
    <t>Akademische Berufe und oberes Kader</t>
  </si>
  <si>
    <t>Intermediäre Berufe</t>
  </si>
  <si>
    <t>Qualifizierte nichtmanuelle Berufe</t>
  </si>
  <si>
    <t>Qualifizierte manuelle Berufe</t>
  </si>
  <si>
    <t>Lernende in dualer beruflicher Grundbildung (Lehrlinge)</t>
  </si>
  <si>
    <t>Erwerbslose und Nichterwerbspersonen</t>
  </si>
  <si>
    <t>Tertiärstufe</t>
  </si>
  <si>
    <t>(): Extrapolation aufgrund von 49 oder weniger Beobachtungen. Die Resultate sind mit grosser Vorsicht zu interpretieren.</t>
  </si>
  <si>
    <t>X: Extrapolation aufgrund von 4 oder weniger Beobachtungen. Die Resultate werden aus Gründen des Datenschutzes nicht publiziert.</t>
  </si>
  <si>
    <t>Die Grundgesamtheit der Strukturerhebung enthält alle Personen der ständigen Wohnbevölkerung ab vollendetem 15. Altersjahr, die in Privathaushalten leben.</t>
  </si>
  <si>
    <t>Aus der Grundgesamtheit ausgeschlossen wurden neben den Personen, die in Kollektivhaushalten leben, auch Diplomaten, internationale Funktionäre und deren Angehörige.</t>
  </si>
  <si>
    <t>Quelle: BFS (Strukturerhebung)</t>
  </si>
  <si>
    <t>Staatsangehörigkeit unbekannt</t>
  </si>
  <si>
    <t>Sekundarstufe II</t>
  </si>
  <si>
    <t>Römisch-katholisch</t>
  </si>
  <si>
    <t>Evangelisch-reformiert</t>
  </si>
  <si>
    <t>Andere christliche Glaubensgemeinschaften</t>
  </si>
  <si>
    <t>Christkatholisch (altkatholisch)</t>
  </si>
  <si>
    <t>Jüdische Glaubensgemeinschaften</t>
  </si>
  <si>
    <t>Andere Religionsgemeinschaften</t>
  </si>
  <si>
    <t>Ohne Religionszugehörigkeit</t>
  </si>
  <si>
    <t>Religionszugehörigkeit unbekannt</t>
  </si>
  <si>
    <t>EU und EFTA</t>
  </si>
  <si>
    <t>Sozioprofessionelle Kategorien</t>
  </si>
  <si>
    <t>Ungelernte Angestellte und Arbeiter/innen</t>
  </si>
  <si>
    <t>Nicht zuteilbare Erwerbstätige (fehlende oder unklare Basisdaten)</t>
  </si>
  <si>
    <t>Höchste abgeschlossene Ausbildung</t>
  </si>
  <si>
    <t>Ohne nachobligatorische Ausbildung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</si>
  <si>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</si>
  <si>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</si>
  <si>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</si>
  <si>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</si>
  <si>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</si>
  <si>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</si>
  <si>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</si>
  <si>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</si>
  <si>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</si>
  <si>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</si>
  <si>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</si>
  <si>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</si>
  <si>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</si>
  <si>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Ständige schweizerische Wohnbevölkerung ab 15 Jahren</t>
  </si>
  <si>
    <t>Populaziun residenta permanenta da la Svizra a partir da 15 onns</t>
  </si>
  <si>
    <t>Popolazione residente permanente svizzera di 15 anni e più</t>
  </si>
  <si>
    <t>T1-2</t>
  </si>
  <si>
    <t>&lt;SpaltenTitel_1&gt;</t>
  </si>
  <si>
    <t>Totale</t>
  </si>
  <si>
    <t>&lt;SpaltenTitel_2&gt;</t>
  </si>
  <si>
    <t>Evangelic-refurmà</t>
  </si>
  <si>
    <t>Protestante</t>
  </si>
  <si>
    <t>&lt;SpaltenTitel_3&gt;</t>
  </si>
  <si>
    <t>Catolic-roman</t>
  </si>
  <si>
    <t>Cattolico romano</t>
  </si>
  <si>
    <t>&lt;SpaltenTitel_4&gt;</t>
  </si>
  <si>
    <t>Autras cuminanzas cristianas da cardientscha</t>
  </si>
  <si>
    <t>Altre comunità cristiane</t>
  </si>
  <si>
    <t>&lt;SpaltenTitel_5&gt;</t>
  </si>
  <si>
    <t>Cuminanzas da cardientscha giudaicas</t>
  </si>
  <si>
    <t>Comunità di confessione ebraica</t>
  </si>
  <si>
    <t>&lt;SpaltenTitel_6&gt;</t>
  </si>
  <si>
    <t>&lt;SpaltenTitel_7&gt;</t>
  </si>
  <si>
    <t>Autras cuminanzas religiusas</t>
  </si>
  <si>
    <t>Altre chiese e comunità religiose</t>
  </si>
  <si>
    <t>&lt;SpaltenTitel_8&gt;</t>
  </si>
  <si>
    <t>Senza appartegnientscha religiusa</t>
  </si>
  <si>
    <t>&lt;SpaltenTitel_9&gt;</t>
  </si>
  <si>
    <t>L'appartegnientscha religiusa n'è betg enconuschenta</t>
  </si>
  <si>
    <t>Appartenenza religiosa sconosciuta</t>
  </si>
  <si>
    <t>Anzahl Personen</t>
  </si>
  <si>
    <t>Dumber da persunas</t>
  </si>
  <si>
    <t>Numero di persone</t>
  </si>
  <si>
    <t>Vertrauens- intervall:          ± (in %)</t>
  </si>
  <si>
    <t>Interval da confidenza:          ± (en %)</t>
  </si>
  <si>
    <t>Intervallo di confidenza:          ± (in %)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</si>
  <si>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</si>
  <si>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</si>
  <si>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</si>
  <si>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</si>
  <si>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</si>
  <si>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</si>
  <si>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</si>
  <si>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</si>
  <si>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&lt;Legende_1&gt;</t>
  </si>
  <si>
    <t>&lt;Legende_2&gt;</t>
  </si>
  <si>
    <t>&lt;Legende_3&gt;</t>
  </si>
  <si>
    <t>&lt;Legende_4&gt;</t>
  </si>
  <si>
    <t>(): Extrapolaziun sin basa da 49 u damain observaziuns. Ils resultats ston vegnir interpretads cun gronda precauziun.</t>
  </si>
  <si>
    <t>(): Estrapolazione basata su meno di 50 osservazioni. I risultati sono da interpretare con molta precauzione.</t>
  </si>
  <si>
    <t>&lt;Legende_5&gt;</t>
  </si>
  <si>
    <t>X : Estrapolazione basata su meno di 5 osservazioni. I risultati non sono pubblicati per ragioni legate alla protezione dei dati.</t>
  </si>
  <si>
    <t>&lt;Quelle_1&gt;</t>
  </si>
  <si>
    <t>Funtauna: UST (enquista da structura)</t>
  </si>
  <si>
    <t>&lt;Aktualisierung&gt;</t>
  </si>
  <si>
    <t>&lt;SpaltenTitel_1.1&gt;</t>
  </si>
  <si>
    <t>&lt;SpaltenTitel_1.2&gt;</t>
  </si>
  <si>
    <t>&lt;SpaltenTitel_10&gt;</t>
  </si>
  <si>
    <t>L'universo di base della rilevazione strutturale comprende tutte le persone facenti parte della popolazione residente permanente di 15 anni e più che vivono in un'economia domestica.</t>
  </si>
  <si>
    <t>Sono esclusi diplomatici, i funzionari internazionali ed i loro familiari e le persone che vivono in una collettività.</t>
  </si>
  <si>
    <t>X: Extrapolaziun pervia da 4 u damain observaziuns. Per motivs da la protecziun da datas na vegnan ils resultats betg publitgads.</t>
  </si>
  <si>
    <t>La survista da basa da l'enquista da structura cumpiglia tut las persunas da la populaziun residenta permanenta a partir da 15 onns che vivan en chasadas privatas.</t>
  </si>
  <si>
    <t>Exclus da la totalitad fundamentala èn vegnids ultra da las persunas che vivan en chasadas collectivas er diplomats, funcziunaris internaziunals e lur confamigliars.</t>
  </si>
  <si>
    <t>Sesso</t>
  </si>
  <si>
    <t>Età</t>
  </si>
  <si>
    <t>Cittadinanza</t>
  </si>
  <si>
    <t>Passato migratorio</t>
  </si>
  <si>
    <t>Posizione nel mercato del lavoro</t>
  </si>
  <si>
    <t>Categorie socio-professionali</t>
  </si>
  <si>
    <t>Categorias socioprofessiunalas</t>
  </si>
  <si>
    <t>Schlattaina</t>
  </si>
  <si>
    <t>Vegliandrament</t>
  </si>
  <si>
    <t>Naziunalitad</t>
  </si>
  <si>
    <t>Status da migraziun</t>
  </si>
  <si>
    <t>Status dal martgà da lavur</t>
  </si>
  <si>
    <t>Formazione più elevata conclusa</t>
  </si>
  <si>
    <t>La pli auta scolaziun terminada</t>
  </si>
  <si>
    <t>&lt;Zeilentitel_2.1&gt;</t>
  </si>
  <si>
    <t>&lt;Zeilentitel_2.2&gt;</t>
  </si>
  <si>
    <t>&lt;Zeilentitel_3.1&gt;</t>
  </si>
  <si>
    <t>&lt;Zeilentitel_3.2&gt;</t>
  </si>
  <si>
    <t>&lt;Zeilentitel_3.3&gt;</t>
  </si>
  <si>
    <t>&lt;Zeilentitel_3.4&gt;</t>
  </si>
  <si>
    <t>&lt;Zeilentitel_4.1&gt;</t>
  </si>
  <si>
    <t>&lt;Zeilentitel_4.2&gt;</t>
  </si>
  <si>
    <t>&lt;Zeilentitel_4.3&gt;</t>
  </si>
  <si>
    <t>&lt;Zeilentitel_4.4&gt;</t>
  </si>
  <si>
    <t>&lt;Zeilentitel_4.5&gt;</t>
  </si>
  <si>
    <t>&lt;Zeilentitel_5.1&gt;</t>
  </si>
  <si>
    <t>&lt;Zeilentitel_5.2&gt;</t>
  </si>
  <si>
    <t>&lt;Zeilentitel_5.3&gt;</t>
  </si>
  <si>
    <t>&lt;Zeilentitel_5.4&gt;</t>
  </si>
  <si>
    <t>&lt;Zeilentitel_5.5&gt;</t>
  </si>
  <si>
    <t>&lt;Zeilentitel_6.1&gt;</t>
  </si>
  <si>
    <t>&lt;Zeilentitel_6.2&gt;</t>
  </si>
  <si>
    <t>&lt;Zeilentitel_6.3&gt;</t>
  </si>
  <si>
    <t>&lt;Zeilentitel_7.1&gt;</t>
  </si>
  <si>
    <t>&lt;Zeilentitel_7.2&gt;</t>
  </si>
  <si>
    <t>&lt;Zeilentitel_7.3&gt;</t>
  </si>
  <si>
    <t>&lt;Zeilentitel_7.4&gt;</t>
  </si>
  <si>
    <t>&lt;Zeilentitel_7.5&gt;</t>
  </si>
  <si>
    <t>&lt;Zeilentitel_7.6&gt;</t>
  </si>
  <si>
    <t>&lt;Zeilentitel_7.7&gt;</t>
  </si>
  <si>
    <t>&lt;Zeilentitel_7.8&gt;</t>
  </si>
  <si>
    <t>&lt;Zeilentitel_7.9&gt;</t>
  </si>
  <si>
    <t>&lt;Zeilentitel_7.11&gt;</t>
  </si>
  <si>
    <t>&lt;Zeilentitel_8.1&gt;</t>
  </si>
  <si>
    <t>&lt;Zeilentitel_8.2&gt;</t>
  </si>
  <si>
    <t>&lt;Zeilentitel_8.3&gt;</t>
  </si>
  <si>
    <t>65 e dapli</t>
  </si>
  <si>
    <t>Svizra</t>
  </si>
  <si>
    <t>UE ed AECL</t>
  </si>
  <si>
    <t>In auter pajais europeic</t>
  </si>
  <si>
    <t>stadi ordaifer l'Europa</t>
  </si>
  <si>
    <t>naziunalitad n'è betg enconuschenta</t>
  </si>
  <si>
    <t>Svizzers senza retroterra da migraziun</t>
  </si>
  <si>
    <t>Svizzers cun ina migraziun</t>
  </si>
  <si>
    <t>Persunas estras da l'emprima generaziun</t>
  </si>
  <si>
    <t>Persunas estras da la segunda generaziun e da l'emprima</t>
  </si>
  <si>
    <t>La migraziun n'è betg enconuschenta</t>
  </si>
  <si>
    <t>Professiuns libras ed egualas</t>
  </si>
  <si>
    <t>Autras persunas independentas</t>
  </si>
  <si>
    <t>Professiuns academicas e cader superiur</t>
  </si>
  <si>
    <t>Professiuns betg manualas qualifitgadas</t>
  </si>
  <si>
    <t>Professiuns manualas qualifitgadas</t>
  </si>
  <si>
    <t>Emploiadas e lavurants betg emprendids</t>
  </si>
  <si>
    <t>Emprendistas ed emprendists en ina furmaziun fundamentala professiunala dubla (emprendists)</t>
  </si>
  <si>
    <t>Persunas cun activitad da gudogn che na pon betg vegnir attribuidas (datas da basa mancantas u betg cleras)</t>
  </si>
  <si>
    <t>Senza scolaziun postobligatorica</t>
  </si>
  <si>
    <t>Uomini</t>
  </si>
  <si>
    <t>Donne</t>
  </si>
  <si>
    <t>65 e più</t>
  </si>
  <si>
    <t>Svizzera</t>
  </si>
  <si>
    <t>UE e AELS</t>
  </si>
  <si>
    <t>Altro paese europeo</t>
  </si>
  <si>
    <t>Paese extraeuropeo</t>
  </si>
  <si>
    <t>Cittadinanza sconosciuta</t>
  </si>
  <si>
    <t>Svizzeri/e senza un passato migratorio</t>
  </si>
  <si>
    <t>Svizzeri/e con un passato migratorio</t>
  </si>
  <si>
    <t>Stranieri/e di prima generazione</t>
  </si>
  <si>
    <t>Stranieri/e di seconda generazione e più</t>
  </si>
  <si>
    <t>Passato migratorio sconosciuto</t>
  </si>
  <si>
    <t>Occupati</t>
  </si>
  <si>
    <t>Disoccupati</t>
  </si>
  <si>
    <t>Persone senza attività professionale</t>
  </si>
  <si>
    <t>Management superiore</t>
  </si>
  <si>
    <t>Professioni liberali ed equiparate</t>
  </si>
  <si>
    <t>Altri indipendenti</t>
  </si>
  <si>
    <t>Professioni accademiche e quadri superiori</t>
  </si>
  <si>
    <t>Professioni intermediarie</t>
  </si>
  <si>
    <t>Professioni qualificate non manuali</t>
  </si>
  <si>
    <t>Professioni qualificate manuali</t>
  </si>
  <si>
    <t>Impiegati e operai non qualificati</t>
  </si>
  <si>
    <t>Persone in formazione professionale di base duale (apprendisti)</t>
  </si>
  <si>
    <t>Occupati non attribuibili (dati di base mancanti)</t>
  </si>
  <si>
    <t>Disoccupati e persone senza attività professionale</t>
  </si>
  <si>
    <t>Senza formazione postobbligatoria</t>
  </si>
  <si>
    <t>Livello secondario II</t>
  </si>
  <si>
    <t>Livello terziario</t>
  </si>
  <si>
    <t>Cattolico cristiano (vecchio-cattolico)</t>
  </si>
  <si>
    <t>Nessuna appartenenza religiosa</t>
  </si>
  <si>
    <t>Cristian-catolic (vegl catolic)</t>
  </si>
  <si>
    <t>Umens</t>
  </si>
  <si>
    <t>Dunnas</t>
  </si>
  <si>
    <t>Persunas cun activitad da gudogn</t>
  </si>
  <si>
    <t>Persunas senza activitad da gudogn</t>
  </si>
  <si>
    <t>Management suprem</t>
  </si>
  <si>
    <t>Professiuns intermediaras</t>
  </si>
  <si>
    <t>Persunas senza activitad da gudogn e persunas senza activitad da gudogn</t>
  </si>
  <si>
    <t>Stgalim secundar II</t>
  </si>
  <si>
    <t>Stgalim terziar</t>
  </si>
  <si>
    <t>Fonte: UST (Rilevazione strutturale)</t>
  </si>
  <si>
    <r>
      <t>Religionszugehörigkeit</t>
    </r>
    <r>
      <rPr>
        <sz val="9"/>
        <rFont val="Arial"/>
        <family val="2"/>
      </rPr>
      <t xml:space="preserve"> im Kanton Graubünden</t>
    </r>
  </si>
  <si>
    <t>Appartegnientscha religiusa en il chantun Grischun</t>
  </si>
  <si>
    <t>Appartenenza religiosa nel Cantone dei Grigioni</t>
  </si>
  <si>
    <t>&lt;Zeilentitel_7.10&gt;</t>
  </si>
  <si>
    <t>* inkl. andere aus dem Islam hervorgegangene Gemeinschaften</t>
  </si>
  <si>
    <t>* incl. autras cuminanzas che derivan da l'islam</t>
  </si>
  <si>
    <t>* incl. le altre comunità derivate dall’islam</t>
  </si>
  <si>
    <t>Cuminanzas da cardientscha islamicas*</t>
  </si>
  <si>
    <t>Comunità islamiche*</t>
  </si>
  <si>
    <t>Islamische Glaubensgem.*</t>
  </si>
  <si>
    <t>X</t>
  </si>
  <si>
    <t>Letztmals aktualisiert am: 27.01.2024</t>
  </si>
  <si>
    <t>Ultima actualisaziun: 27.01.2024</t>
  </si>
  <si>
    <t>Ulimo aggiornamento: 27.01.2024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</si>
</sst>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#,##0_ ;\-#,##0\ "/>
    <numFmt numFmtId="167" formatCode="0.0"/>
    <numFmt numFmtId="168" formatCode="\(0.0\)"/>
    <numFmt numFmtId="169" formatCode="_-* #,##0.00\ _€_-;\-* #,##0.00\ _€_-;_-* &quot;-&quot;??\ _€_-;_-@_-"/>
    <numFmt numFmtId="170" formatCode="* #,###"/>
    <numFmt numFmtId="173" formatCode="\(#\'##0\)"/>
    <numFmt numFmtId="174" formatCode="\(##0\)"/>
  </numFmts>
  <fonts count="1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rgb="FFFF0000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8"/>
      <color rgb="FF000000"/>
      <name val="Segoe UI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auto="1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3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7" fillId="2" borderId="0" xfId="3" applyFont="1" applyFill="1" applyAlignment="1">
      <alignment horizontal="left" vertical="top"/>
    </xf>
    <xf numFmtId="164" fontId="7" fillId="2" borderId="0" xfId="4" applyNumberFormat="1" applyFont="1" applyFill="1" applyBorder="1" applyAlignment="1" applyProtection="1">
      <alignment horizontal="left" vertical="top"/>
    </xf>
    <xf numFmtId="0" fontId="8" fillId="2" borderId="0" xfId="3" applyFont="1" applyFill="1" applyAlignment="1">
      <alignment horizontal="right" vertical="center"/>
    </xf>
    <xf numFmtId="0" fontId="2" fillId="2" borderId="0" xfId="0" applyFont="1" applyFill="1"/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vertical="top" wrapText="1"/>
    </xf>
    <xf numFmtId="3" fontId="3" fillId="2" borderId="0" xfId="1" applyNumberFormat="1" applyFont="1" applyFill="1" applyBorder="1" applyAlignment="1" applyProtection="1">
      <alignment horizontal="right" wrapText="1"/>
    </xf>
    <xf numFmtId="165" fontId="3" fillId="2" borderId="0" xfId="2" applyNumberFormat="1" applyFont="1" applyFill="1" applyBorder="1" applyAlignment="1" applyProtection="1">
      <alignment horizontal="right" wrapText="1"/>
    </xf>
    <xf numFmtId="166" fontId="3" fillId="2" borderId="0" xfId="1" applyNumberFormat="1" applyFont="1" applyFill="1" applyBorder="1" applyAlignment="1" applyProtection="1">
      <alignment horizontal="right" wrapText="1"/>
    </xf>
    <xf numFmtId="165" fontId="3" fillId="2" borderId="0" xfId="1" applyNumberFormat="1" applyFont="1" applyFill="1" applyBorder="1" applyAlignment="1" applyProtection="1">
      <alignment horizontal="right" wrapText="1"/>
    </xf>
    <xf numFmtId="0" fontId="10" fillId="4" borderId="0" xfId="0" applyFont="1" applyFill="1" applyAlignment="1">
      <alignment horizontal="left" vertical="top"/>
    </xf>
    <xf numFmtId="0" fontId="9" fillId="2" borderId="3" xfId="0" applyFont="1" applyFill="1" applyBorder="1" applyAlignment="1">
      <alignment vertical="top" wrapText="1"/>
    </xf>
    <xf numFmtId="0" fontId="9" fillId="2" borderId="5" xfId="0" applyFont="1" applyFill="1" applyBorder="1" applyAlignment="1">
      <alignment horizontal="left" vertical="top" wrapText="1"/>
    </xf>
    <xf numFmtId="0" fontId="10" fillId="4" borderId="0" xfId="0" applyFont="1" applyFill="1" applyAlignment="1">
      <alignment vertical="top" wrapText="1"/>
    </xf>
    <xf numFmtId="0" fontId="10" fillId="4" borderId="1" xfId="0" applyFont="1" applyFill="1" applyBorder="1" applyAlignment="1">
      <alignment vertical="top" wrapText="1"/>
    </xf>
    <xf numFmtId="0" fontId="10" fillId="4" borderId="7" xfId="0" applyFont="1" applyFill="1" applyBorder="1" applyAlignment="1">
      <alignment vertical="top"/>
    </xf>
    <xf numFmtId="0" fontId="10" fillId="4" borderId="0" xfId="0" applyFont="1" applyFill="1" applyAlignment="1">
      <alignment vertical="top"/>
    </xf>
    <xf numFmtId="0" fontId="10" fillId="4" borderId="7" xfId="0" applyFont="1" applyFill="1" applyBorder="1" applyAlignment="1">
      <alignment vertical="top" wrapText="1"/>
    </xf>
    <xf numFmtId="0" fontId="10" fillId="4" borderId="2" xfId="0" applyFont="1" applyFill="1" applyBorder="1" applyAlignment="1">
      <alignment vertical="top"/>
    </xf>
    <xf numFmtId="3" fontId="3" fillId="2" borderId="8" xfId="1" applyNumberFormat="1" applyFont="1" applyFill="1" applyBorder="1" applyAlignment="1" applyProtection="1">
      <alignment horizontal="right" vertical="center" wrapText="1"/>
    </xf>
    <xf numFmtId="3" fontId="3" fillId="2" borderId="10" xfId="1" applyNumberFormat="1" applyFont="1" applyFill="1" applyBorder="1" applyAlignment="1" applyProtection="1">
      <alignment horizontal="right" vertical="center" wrapText="1"/>
    </xf>
    <xf numFmtId="3" fontId="3" fillId="2" borderId="8" xfId="6" applyNumberFormat="1" applyFont="1" applyFill="1" applyBorder="1" applyAlignment="1" applyProtection="1">
      <alignment horizontal="right" vertical="center" wrapText="1"/>
    </xf>
    <xf numFmtId="3" fontId="3" fillId="2" borderId="10" xfId="6" applyNumberFormat="1" applyFont="1" applyFill="1" applyBorder="1" applyAlignment="1" applyProtection="1">
      <alignment horizontal="right" vertical="center" wrapText="1"/>
    </xf>
    <xf numFmtId="0" fontId="6" fillId="4" borderId="0" xfId="0" applyFont="1" applyFill="1" applyAlignment="1">
      <alignment horizontal="left" vertical="top"/>
    </xf>
    <xf numFmtId="0" fontId="10" fillId="4" borderId="0" xfId="0" applyFont="1" applyFill="1" applyAlignment="1">
      <alignment horizontal="left" vertical="center"/>
    </xf>
    <xf numFmtId="0" fontId="10" fillId="2" borderId="2" xfId="0" applyFont="1" applyFill="1" applyBorder="1" applyAlignment="1">
      <alignment vertical="top" wrapText="1"/>
    </xf>
    <xf numFmtId="0" fontId="10" fillId="2" borderId="4" xfId="0" applyFont="1" applyFill="1" applyBorder="1" applyAlignment="1">
      <alignment vertical="top" wrapText="1"/>
    </xf>
    <xf numFmtId="0" fontId="13" fillId="5" borderId="0" xfId="0" applyFont="1" applyFill="1" applyBorder="1" applyAlignment="1">
      <alignment horizontal="left" vertical="top"/>
    </xf>
    <xf numFmtId="0" fontId="13" fillId="5" borderId="0" xfId="0" applyFont="1" applyFill="1" applyBorder="1" applyAlignment="1">
      <alignment horizontal="left" vertical="top" wrapText="1"/>
    </xf>
    <xf numFmtId="0" fontId="1" fillId="6" borderId="0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4" fillId="6" borderId="0" xfId="0" applyFont="1" applyFill="1" applyBorder="1" applyAlignment="1">
      <alignment horizontal="left" vertical="top"/>
    </xf>
    <xf numFmtId="0" fontId="1" fillId="6" borderId="0" xfId="0" applyFont="1" applyFill="1" applyBorder="1" applyAlignment="1" applyProtection="1">
      <alignment horizontal="left" vertical="top"/>
      <protection locked="0"/>
    </xf>
    <xf numFmtId="0" fontId="1" fillId="6" borderId="0" xfId="0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1" fillId="6" borderId="0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0" fillId="7" borderId="0" xfId="0" applyFill="1" applyBorder="1" applyAlignment="1">
      <alignment horizontal="left" vertical="top"/>
    </xf>
    <xf numFmtId="0" fontId="0" fillId="7" borderId="0" xfId="0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/>
    </xf>
    <xf numFmtId="0" fontId="10" fillId="2" borderId="15" xfId="1" applyNumberFormat="1" applyFont="1" applyFill="1" applyBorder="1" applyAlignment="1" applyProtection="1">
      <alignment horizontal="right" vertical="top" wrapText="1"/>
    </xf>
    <xf numFmtId="0" fontId="10" fillId="2" borderId="16" xfId="2" applyNumberFormat="1" applyFont="1" applyFill="1" applyBorder="1" applyAlignment="1" applyProtection="1">
      <alignment horizontal="right" vertical="top" wrapText="1"/>
    </xf>
    <xf numFmtId="0" fontId="10" fillId="2" borderId="18" xfId="1" applyNumberFormat="1" applyFont="1" applyFill="1" applyBorder="1" applyAlignment="1" applyProtection="1">
      <alignment horizontal="right" vertical="top" wrapText="1"/>
    </xf>
    <xf numFmtId="0" fontId="10" fillId="2" borderId="9" xfId="2" applyNumberFormat="1" applyFont="1" applyFill="1" applyBorder="1" applyAlignment="1" applyProtection="1">
      <alignment horizontal="right" vertical="top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top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0" fillId="2" borderId="8" xfId="1" applyNumberFormat="1" applyFont="1" applyFill="1" applyBorder="1" applyAlignment="1" applyProtection="1">
      <alignment horizontal="right" vertical="top" wrapText="1"/>
    </xf>
    <xf numFmtId="0" fontId="10" fillId="2" borderId="11" xfId="2" applyNumberFormat="1" applyFont="1" applyFill="1" applyBorder="1" applyAlignment="1" applyProtection="1">
      <alignment horizontal="right" vertical="top" wrapText="1"/>
    </xf>
    <xf numFmtId="168" fontId="3" fillId="2" borderId="3" xfId="6" applyNumberFormat="1" applyFont="1" applyFill="1" applyBorder="1" applyAlignment="1" applyProtection="1">
      <alignment horizontal="right" vertical="center" wrapText="1"/>
    </xf>
    <xf numFmtId="167" fontId="3" fillId="2" borderId="3" xfId="6" applyNumberFormat="1" applyFont="1" applyFill="1" applyBorder="1" applyAlignment="1" applyProtection="1">
      <alignment horizontal="right" vertical="center" wrapText="1"/>
    </xf>
    <xf numFmtId="168" fontId="3" fillId="2" borderId="4" xfId="6" applyNumberFormat="1" applyFont="1" applyFill="1" applyBorder="1" applyAlignment="1" applyProtection="1">
      <alignment horizontal="right" vertical="center" wrapText="1"/>
    </xf>
    <xf numFmtId="167" fontId="3" fillId="2" borderId="21" xfId="6" applyNumberFormat="1" applyFont="1" applyFill="1" applyBorder="1" applyAlignment="1" applyProtection="1">
      <alignment horizontal="right" vertical="center" wrapText="1"/>
    </xf>
    <xf numFmtId="168" fontId="3" fillId="2" borderId="21" xfId="6" applyNumberFormat="1" applyFont="1" applyFill="1" applyBorder="1" applyAlignment="1" applyProtection="1">
      <alignment horizontal="right" vertical="center" wrapText="1"/>
    </xf>
    <xf numFmtId="167" fontId="3" fillId="2" borderId="22" xfId="6" applyNumberFormat="1" applyFont="1" applyFill="1" applyBorder="1" applyAlignment="1" applyProtection="1">
      <alignment horizontal="right" vertical="center" wrapText="1"/>
    </xf>
    <xf numFmtId="167" fontId="3" fillId="2" borderId="21" xfId="1" applyNumberFormat="1" applyFont="1" applyFill="1" applyBorder="1" applyAlignment="1" applyProtection="1">
      <alignment horizontal="right" vertical="center" wrapText="1"/>
    </xf>
    <xf numFmtId="168" fontId="3" fillId="2" borderId="21" xfId="1" applyNumberFormat="1" applyFont="1" applyFill="1" applyBorder="1" applyAlignment="1" applyProtection="1">
      <alignment horizontal="right" vertical="center" wrapText="1"/>
    </xf>
    <xf numFmtId="167" fontId="3" fillId="2" borderId="22" xfId="1" applyNumberFormat="1" applyFont="1" applyFill="1" applyBorder="1" applyAlignment="1" applyProtection="1">
      <alignment horizontal="right" vertical="center" wrapText="1"/>
    </xf>
    <xf numFmtId="168" fontId="3" fillId="2" borderId="22" xfId="6" applyNumberFormat="1" applyFont="1" applyFill="1" applyBorder="1" applyAlignment="1" applyProtection="1">
      <alignment horizontal="right" vertical="center" wrapText="1"/>
    </xf>
    <xf numFmtId="167" fontId="3" fillId="2" borderId="23" xfId="6" applyNumberFormat="1" applyFont="1" applyFill="1" applyBorder="1" applyAlignment="1" applyProtection="1">
      <alignment horizontal="right" vertical="center" wrapText="1"/>
    </xf>
    <xf numFmtId="167" fontId="3" fillId="2" borderId="23" xfId="1" applyNumberFormat="1" applyFont="1" applyFill="1" applyBorder="1" applyAlignment="1" applyProtection="1">
      <alignment horizontal="right" vertical="center" wrapText="1"/>
    </xf>
    <xf numFmtId="168" fontId="3" fillId="2" borderId="23" xfId="6" applyNumberFormat="1" applyFont="1" applyFill="1" applyBorder="1" applyAlignment="1" applyProtection="1">
      <alignment horizontal="right" vertical="center" wrapText="1"/>
    </xf>
    <xf numFmtId="168" fontId="3" fillId="2" borderId="24" xfId="6" applyNumberFormat="1" applyFont="1" applyFill="1" applyBorder="1" applyAlignment="1" applyProtection="1">
      <alignment horizontal="right" vertical="center" wrapText="1"/>
    </xf>
    <xf numFmtId="168" fontId="3" fillId="2" borderId="23" xfId="1" applyNumberFormat="1" applyFont="1" applyFill="1" applyBorder="1" applyAlignment="1" applyProtection="1">
      <alignment horizontal="right" vertical="center" wrapText="1"/>
    </xf>
    <xf numFmtId="167" fontId="3" fillId="2" borderId="24" xfId="6" applyNumberFormat="1" applyFont="1" applyFill="1" applyBorder="1" applyAlignment="1" applyProtection="1">
      <alignment horizontal="right" vertical="center" wrapText="1"/>
    </xf>
    <xf numFmtId="167" fontId="11" fillId="2" borderId="25" xfId="6" applyNumberFormat="1" applyFont="1" applyFill="1" applyBorder="1" applyAlignment="1" applyProtection="1">
      <alignment horizontal="right" vertical="center" wrapText="1"/>
    </xf>
    <xf numFmtId="167" fontId="11" fillId="2" borderId="25" xfId="1" applyNumberFormat="1" applyFont="1" applyFill="1" applyBorder="1" applyAlignment="1" applyProtection="1">
      <alignment horizontal="right" vertical="center" wrapText="1"/>
    </xf>
    <xf numFmtId="168" fontId="11" fillId="2" borderId="25" xfId="6" applyNumberFormat="1" applyFont="1" applyFill="1" applyBorder="1" applyAlignment="1" applyProtection="1">
      <alignment horizontal="right" vertical="center" wrapText="1"/>
    </xf>
    <xf numFmtId="168" fontId="11" fillId="2" borderId="26" xfId="6" applyNumberFormat="1" applyFont="1" applyFill="1" applyBorder="1" applyAlignment="1" applyProtection="1">
      <alignment horizontal="right" vertical="center" wrapText="1"/>
    </xf>
    <xf numFmtId="170" fontId="11" fillId="2" borderId="27" xfId="6" applyNumberFormat="1" applyFont="1" applyFill="1" applyBorder="1" applyAlignment="1" applyProtection="1">
      <alignment horizontal="right" vertical="center" wrapText="1"/>
    </xf>
    <xf numFmtId="3" fontId="3" fillId="2" borderId="15" xfId="6" applyNumberFormat="1" applyFont="1" applyFill="1" applyBorder="1" applyAlignment="1" applyProtection="1">
      <alignment horizontal="right" vertical="center" wrapText="1"/>
    </xf>
    <xf numFmtId="3" fontId="3" fillId="2" borderId="28" xfId="6" applyNumberFormat="1" applyFont="1" applyFill="1" applyBorder="1" applyAlignment="1" applyProtection="1">
      <alignment horizontal="right" vertical="center" wrapText="1"/>
    </xf>
    <xf numFmtId="173" fontId="3" fillId="2" borderId="28" xfId="6" applyNumberFormat="1" applyFont="1" applyFill="1" applyBorder="1" applyAlignment="1" applyProtection="1">
      <alignment horizontal="right" vertical="center" wrapText="1"/>
    </xf>
    <xf numFmtId="173" fontId="3" fillId="2" borderId="15" xfId="6" applyNumberFormat="1" applyFont="1" applyFill="1" applyBorder="1" applyAlignment="1" applyProtection="1">
      <alignment horizontal="right" vertical="center" wrapText="1"/>
    </xf>
    <xf numFmtId="3" fontId="3" fillId="2" borderId="29" xfId="6" applyNumberFormat="1" applyFont="1" applyFill="1" applyBorder="1" applyAlignment="1" applyProtection="1">
      <alignment horizontal="right" vertical="center" wrapText="1"/>
    </xf>
    <xf numFmtId="170" fontId="11" fillId="2" borderId="30" xfId="1" applyNumberFormat="1" applyFont="1" applyFill="1" applyBorder="1" applyAlignment="1" applyProtection="1">
      <alignment horizontal="right" vertical="center" wrapText="1"/>
    </xf>
    <xf numFmtId="3" fontId="3" fillId="2" borderId="17" xfId="1" applyNumberFormat="1" applyFont="1" applyFill="1" applyBorder="1" applyAlignment="1" applyProtection="1">
      <alignment horizontal="right" vertical="center" wrapText="1"/>
    </xf>
    <xf numFmtId="174" fontId="3" fillId="2" borderId="17" xfId="1" applyNumberFormat="1" applyFont="1" applyFill="1" applyBorder="1" applyAlignment="1" applyProtection="1">
      <alignment horizontal="right" vertical="center" wrapText="1"/>
    </xf>
    <xf numFmtId="174" fontId="3" fillId="2" borderId="8" xfId="1" applyNumberFormat="1" applyFont="1" applyFill="1" applyBorder="1" applyAlignment="1" applyProtection="1">
      <alignment horizontal="right" vertical="center" wrapText="1"/>
    </xf>
    <xf numFmtId="170" fontId="11" fillId="2" borderId="30" xfId="6" applyNumberFormat="1" applyFont="1" applyFill="1" applyBorder="1" applyAlignment="1" applyProtection="1">
      <alignment horizontal="right" vertical="center" wrapText="1"/>
    </xf>
    <xf numFmtId="3" fontId="3" fillId="2" borderId="17" xfId="6" applyNumberFormat="1" applyFont="1" applyFill="1" applyBorder="1" applyAlignment="1" applyProtection="1">
      <alignment horizontal="right" vertical="center" wrapText="1"/>
    </xf>
    <xf numFmtId="174" fontId="3" fillId="2" borderId="8" xfId="6" applyNumberFormat="1" applyFont="1" applyFill="1" applyBorder="1" applyAlignment="1" applyProtection="1">
      <alignment horizontal="right" vertical="center" wrapText="1"/>
    </xf>
    <xf numFmtId="173" fontId="3" fillId="2" borderId="8" xfId="6" applyNumberFormat="1" applyFont="1" applyFill="1" applyBorder="1" applyAlignment="1" applyProtection="1">
      <alignment horizontal="right" vertical="center" wrapText="1"/>
    </xf>
    <xf numFmtId="174" fontId="3" fillId="2" borderId="17" xfId="6" applyNumberFormat="1" applyFont="1" applyFill="1" applyBorder="1" applyAlignment="1" applyProtection="1">
      <alignment horizontal="right" vertical="center" wrapText="1"/>
    </xf>
    <xf numFmtId="173" fontId="3" fillId="2" borderId="17" xfId="6" applyNumberFormat="1" applyFont="1" applyFill="1" applyBorder="1" applyAlignment="1" applyProtection="1">
      <alignment horizontal="right" vertical="center" wrapText="1"/>
    </xf>
    <xf numFmtId="173" fontId="3" fillId="2" borderId="10" xfId="6" applyNumberFormat="1" applyFont="1" applyFill="1" applyBorder="1" applyAlignment="1" applyProtection="1">
      <alignment horizontal="right" vertical="center" wrapText="1"/>
    </xf>
    <xf numFmtId="174" fontId="3" fillId="2" borderId="10" xfId="6" applyNumberFormat="1" applyFont="1" applyFill="1" applyBorder="1" applyAlignment="1" applyProtection="1">
      <alignment horizontal="right" vertical="center" wrapText="1"/>
    </xf>
    <xf numFmtId="173" fontId="11" fillId="2" borderId="30" xfId="6" applyNumberFormat="1" applyFont="1" applyFill="1" applyBorder="1" applyAlignment="1" applyProtection="1">
      <alignment horizontal="right" vertical="center" wrapText="1"/>
    </xf>
  </cellXfs>
  <cellStyles count="7">
    <cellStyle name="Komma" xfId="1" builtinId="3"/>
    <cellStyle name="Komma 2" xfId="4"/>
    <cellStyle name="Komma 3" xfId="6"/>
    <cellStyle name="Prozent" xfId="2" builtinId="5"/>
    <cellStyle name="Prozent 2" xfId="5"/>
    <cellStyle name="Standard" xfId="0" builtinId="0"/>
    <cellStyle name="Standard 2" xfId="3"/>
  </cellStyles>
  <dxfs count="0"/>
  <tableStyles count="0" defaultTableStyle="TableStyleMedium2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0</xdr:row>
      <xdr:rowOff>9525</xdr:rowOff>
    </xdr:from>
    <xdr:to>
      <xdr:col>6</xdr:col>
      <xdr:colOff>181589</xdr:colOff>
      <xdr:row>4</xdr:row>
      <xdr:rowOff>135998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5000625" y="9525"/>
          <a:ext cx="2496164" cy="888473"/>
          <a:chOff x="6010275" y="133350"/>
          <a:chExt cx="2047875" cy="819150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6010275" y="133350"/>
            <a:ext cx="2047875" cy="819150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5" name="Gruppieren 4">
                <a:extLst>
                  <a:ext uri="{FF2B5EF4-FFF2-40B4-BE49-F238E27FC236}">
                    <a16:creationId xmlns:a16="http://schemas.microsoft.com/office/drawing/2014/main" id="{00000000-0008-0000-0000-000005000000}"/>
                  </a:ext>
                </a:extLst>
              </xdr:cNvPr>
              <xdr:cNvGrpSpPr/>
            </xdr:nvGrpSpPr>
            <xdr:grpSpPr>
              <a:xfrm>
                <a:off x="6553200" y="374273"/>
                <a:ext cx="1200150" cy="533405"/>
                <a:chOff x="6553200" y="374273"/>
                <a:chExt cx="1200150" cy="533405"/>
              </a:xfrm>
              <a:grpFill/>
            </xdr:grpSpPr>
            <xdr:sp macro="" textlink="">
              <xdr:nvSpPr>
                <xdr:cNvPr id="1025" name="Option Button 1" hidden="1">
                  <a:extLst>
                    <a:ext uri="{63B3BB69-23CF-44E3-9099-C40C66FF867C}">
                      <a14:compatExt spid="_x0000_s1025"/>
                    </a:ext>
                    <a:ext uri="{FF2B5EF4-FFF2-40B4-BE49-F238E27FC236}">
                      <a16:creationId xmlns:a16="http://schemas.microsoft.com/office/drawing/2014/main" id="{00000000-0008-0000-0000-000001040000}"/>
                    </a:ext>
                  </a:extLst>
                </xdr:cNvPr>
                <xdr:cNvSpPr/>
              </xdr:nvSpPr>
              <xdr:spPr bwMode="auto">
                <a:xfrm>
                  <a:off x="6553200" y="374273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1026" name="Option Button 2" hidden="1">
                  <a:extLst>
                    <a:ext uri="{63B3BB69-23CF-44E3-9099-C40C66FF867C}">
                      <a14:compatExt spid="_x0000_s1026"/>
                    </a:ext>
                    <a:ext uri="{FF2B5EF4-FFF2-40B4-BE49-F238E27FC236}">
                      <a16:creationId xmlns:a16="http://schemas.microsoft.com/office/drawing/2014/main" id="{00000000-0008-0000-0000-00000204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50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1027" name="Option Button 3" hidden="1">
                  <a:extLst>
                    <a:ext uri="{63B3BB69-23CF-44E3-9099-C40C66FF867C}">
                      <a14:compatExt spid="_x0000_s1027"/>
                    </a:ext>
                    <a:ext uri="{FF2B5EF4-FFF2-40B4-BE49-F238E27FC236}">
                      <a16:creationId xmlns:a16="http://schemas.microsoft.com/office/drawing/2014/main" id="{00000000-0008-0000-0000-000003040000}"/>
                    </a:ext>
                  </a:extLst>
                </xdr:cNvPr>
                <xdr:cNvSpPr/>
              </xdr:nvSpPr>
              <xdr:spPr bwMode="auto">
                <a:xfrm>
                  <a:off x="6553200" y="698127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549275</xdr:colOff>
      <xdr:row>5</xdr:row>
      <xdr:rowOff>4202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376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7"/>
  <sheetViews>
    <sheetView tabSelected="1" workbookViewId="0"/>
  </sheetViews>
  <sheetFormatPr baseColWidth="10" defaultRowHeight="12.75" x14ac:dyDescent="0.2"/>
  <cols>
    <col min="1" max="1" width="19.85546875" style="1" customWidth="1"/>
    <col min="2" max="2" width="46.42578125" style="1" customWidth="1"/>
    <col min="3" max="3" width="9.5703125" style="1" bestFit="1" customWidth="1"/>
    <col min="4" max="4" width="11.5703125" style="1" customWidth="1"/>
    <col min="5" max="5" width="10.42578125" style="1" bestFit="1" customWidth="1"/>
    <col min="6" max="6" width="11.85546875" style="1" bestFit="1" customWidth="1"/>
    <col min="7" max="7" width="10.42578125" style="1" bestFit="1" customWidth="1"/>
    <col min="8" max="8" width="11.85546875" style="1" bestFit="1" customWidth="1"/>
    <col min="9" max="9" width="10.42578125" style="1" bestFit="1" customWidth="1"/>
    <col min="10" max="10" width="11.85546875" style="1" bestFit="1" customWidth="1"/>
    <col min="11" max="11" width="10.42578125" style="1" bestFit="1" customWidth="1"/>
    <col min="12" max="12" width="14" style="1" customWidth="1"/>
    <col min="13" max="14" width="13.42578125" style="1" customWidth="1"/>
    <col min="15" max="15" width="10.42578125" style="1" bestFit="1" customWidth="1"/>
    <col min="16" max="16" width="13.5703125" style="1" customWidth="1"/>
    <col min="17" max="17" width="10.42578125" style="1" bestFit="1" customWidth="1"/>
    <col min="18" max="18" width="13.140625" style="1" customWidth="1"/>
    <col min="19" max="19" width="10.42578125" style="1" bestFit="1" customWidth="1"/>
    <col min="20" max="20" width="11.85546875" style="1" bestFit="1" customWidth="1"/>
    <col min="21" max="21" width="10.42578125" style="1" bestFit="1" customWidth="1"/>
    <col min="22" max="22" width="11.85546875" style="1" bestFit="1" customWidth="1"/>
    <col min="23" max="16384" width="11.42578125" style="1"/>
  </cols>
  <sheetData>
    <row r="1" spans="1:22" s="2" customFormat="1" x14ac:dyDescent="0.2"/>
    <row r="2" spans="1:22" s="2" customFormat="1" ht="15.75" x14ac:dyDescent="0.25">
      <c r="B2" s="3"/>
      <c r="C2" s="1"/>
      <c r="D2" s="1"/>
    </row>
    <row r="3" spans="1:22" s="2" customFormat="1" ht="15.75" x14ac:dyDescent="0.25">
      <c r="B3" s="3"/>
      <c r="C3" s="1"/>
      <c r="D3" s="1"/>
    </row>
    <row r="4" spans="1:22" s="2" customFormat="1" ht="15.75" x14ac:dyDescent="0.25">
      <c r="B4" s="3"/>
      <c r="C4" s="1"/>
      <c r="D4" s="1"/>
    </row>
    <row r="5" spans="1:22" s="2" customFormat="1" x14ac:dyDescent="0.2"/>
    <row r="6" spans="1:22" s="2" customFormat="1" x14ac:dyDescent="0.2"/>
    <row r="7" spans="1:22" s="2" customFormat="1" ht="15.75" customHeight="1" x14ac:dyDescent="0.2">
      <c r="A7" s="55" t="str">
        <f>VLOOKUP("&lt;Fachbereich&gt;",Uebersetzungen!$B$3:$E$213,Uebersetzungen!$B$2+1,FALSE)</f>
        <v>Daten &amp; Statistik</v>
      </c>
      <c r="B7" s="55"/>
      <c r="C7" s="4"/>
      <c r="D7" s="4"/>
      <c r="E7" s="4"/>
      <c r="F7" s="4"/>
      <c r="G7" s="4"/>
      <c r="H7" s="4"/>
    </row>
    <row r="8" spans="1:22" s="2" customFormat="1" x14ac:dyDescent="0.2"/>
    <row r="9" spans="1:22" s="8" customFormat="1" ht="18" x14ac:dyDescent="0.2">
      <c r="A9" s="28" t="str">
        <f>VLOOKUP("&lt;Titel&gt;",Uebersetzungen!$B$3:$E$213,Uebersetzungen!$B$2+1,FALSE)</f>
        <v>Religionszugehörigkeit im Kanton Graubünden</v>
      </c>
      <c r="B9" s="5"/>
      <c r="C9" s="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/>
    </row>
    <row r="10" spans="1:22" s="8" customFormat="1" ht="15" x14ac:dyDescent="0.2">
      <c r="A10" s="29" t="str">
        <f>VLOOKUP("&lt;UTitel&gt;",Uebersetzungen!$B$3:$E$213,Uebersetzungen!$B$2+1,FALSE)</f>
        <v>Ständige schweizerische Wohnbevölkerung ab 15 Jahren</v>
      </c>
      <c r="B10" s="5"/>
      <c r="C10" s="5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/>
    </row>
    <row r="11" spans="1:22" s="8" customFormat="1" ht="15.75" thickBot="1" x14ac:dyDescent="0.25">
      <c r="A11" s="29"/>
      <c r="B11" s="5"/>
      <c r="C11" s="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7"/>
    </row>
    <row r="12" spans="1:22" ht="18.75" thickBot="1" x14ac:dyDescent="0.3">
      <c r="C12" s="58">
        <v>2023</v>
      </c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60"/>
    </row>
    <row r="13" spans="1:22" ht="39" customHeight="1" thickBot="1" x14ac:dyDescent="0.25">
      <c r="A13" s="10"/>
      <c r="B13" s="16"/>
      <c r="C13" s="56" t="str">
        <f>VLOOKUP("&lt;SpaltenTitel_1&gt;",Uebersetzungen!$B$3:$E$213,Uebersetzungen!$B$2+1,FALSE)</f>
        <v>Total</v>
      </c>
      <c r="D13" s="57"/>
      <c r="E13" s="51" t="str">
        <f>VLOOKUP("&lt;SpaltenTitel_2&gt;",Uebersetzungen!$B$3:$E$213,Uebersetzungen!$B$2+1,FALSE)</f>
        <v>Evangelisch-reformiert</v>
      </c>
      <c r="F13" s="54"/>
      <c r="G13" s="57" t="str">
        <f>VLOOKUP("&lt;SpaltenTitel_3&gt;",Uebersetzungen!$B$3:$E$213,Uebersetzungen!$B$2+1,FALSE)</f>
        <v>Römisch-katholisch</v>
      </c>
      <c r="H13" s="54"/>
      <c r="I13" s="51" t="str">
        <f>VLOOKUP("&lt;SpaltenTitel_4&gt;",Uebersetzungen!$B$3:$E$213,Uebersetzungen!$B$2+1,FALSE)</f>
        <v>Christkatholisch (altkatholisch)</v>
      </c>
      <c r="J13" s="54"/>
      <c r="K13" s="51" t="str">
        <f>VLOOKUP("&lt;SpaltenTitel_5&gt;",Uebersetzungen!$B$3:$E$213,Uebersetzungen!$B$2+1,FALSE)</f>
        <v>Andere christliche Glaubensgemeinschaften</v>
      </c>
      <c r="L13" s="54"/>
      <c r="M13" s="51" t="str">
        <f>VLOOKUP("&lt;SpaltenTitel_6&gt;",Uebersetzungen!$B$3:$E$213,Uebersetzungen!$B$2+1,FALSE)</f>
        <v>Jüdische Glaubensgemeinschaften</v>
      </c>
      <c r="N13" s="54"/>
      <c r="O13" s="51" t="str">
        <f>VLOOKUP("&lt;SpaltenTitel_7&gt;",Uebersetzungen!$B$3:$E$213,Uebersetzungen!$B$2+1,FALSE)</f>
        <v>Islamische Glaubensgem.*</v>
      </c>
      <c r="P13" s="54"/>
      <c r="Q13" s="51" t="str">
        <f>VLOOKUP("&lt;SpaltenTitel_8&gt;",Uebersetzungen!$B$3:$E$213,Uebersetzungen!$B$2+1,FALSE)</f>
        <v>Andere Religionsgemeinschaften</v>
      </c>
      <c r="R13" s="54"/>
      <c r="S13" s="51" t="str">
        <f>VLOOKUP("&lt;SpaltenTitel_9&gt;",Uebersetzungen!$B$3:$E$213,Uebersetzungen!$B$2+1,FALSE)</f>
        <v>Ohne Religionszugehörigkeit</v>
      </c>
      <c r="T13" s="54"/>
      <c r="U13" s="51" t="str">
        <f>VLOOKUP("&lt;SpaltenTitel_10&gt;",Uebersetzungen!$B$3:$E$213,Uebersetzungen!$B$2+1,FALSE)</f>
        <v>Religionszugehörigkeit unbekannt</v>
      </c>
      <c r="V13" s="52"/>
    </row>
    <row r="14" spans="1:22" ht="39.75" customHeight="1" thickBot="1" x14ac:dyDescent="0.25">
      <c r="A14" s="30"/>
      <c r="B14" s="31"/>
      <c r="C14" s="47" t="str">
        <f>VLOOKUP("&lt;SpaltenTitel_1.1&gt;",Uebersetzungen!$B$3:$E$213,Uebersetzungen!$B$2+1,FALSE)</f>
        <v>Anzahl Personen</v>
      </c>
      <c r="D14" s="48" t="str">
        <f>VLOOKUP("&lt;SpaltenTitel_1.2&gt;",Uebersetzungen!$B$3:$E$213,Uebersetzungen!$B$2+1,FALSE)</f>
        <v>Vertrauens- intervall:          ± (in %)</v>
      </c>
      <c r="E14" s="61" t="str">
        <f>VLOOKUP("&lt;SpaltenTitel_1.1&gt;",Uebersetzungen!$B$3:$E$213,Uebersetzungen!$B$2+1,FALSE)</f>
        <v>Anzahl Personen</v>
      </c>
      <c r="F14" s="50" t="str">
        <f>VLOOKUP("&lt;SpaltenTitel_1.2&gt;",Uebersetzungen!$B$3:$E$213,Uebersetzungen!$B$2+1,FALSE)</f>
        <v>Vertrauens- intervall:          ± (in %)</v>
      </c>
      <c r="G14" s="49" t="str">
        <f>VLOOKUP("&lt;SpaltenTitel_1.1&gt;",Uebersetzungen!$B$3:$E$213,Uebersetzungen!$B$2+1,FALSE)</f>
        <v>Anzahl Personen</v>
      </c>
      <c r="H14" s="50" t="str">
        <f>VLOOKUP("&lt;SpaltenTitel_1.2&gt;",Uebersetzungen!$B$3:$E$213,Uebersetzungen!$B$2+1,FALSE)</f>
        <v>Vertrauens- intervall:          ± (in %)</v>
      </c>
      <c r="I14" s="61" t="str">
        <f>VLOOKUP("&lt;SpaltenTitel_1.1&gt;",Uebersetzungen!$B$3:$E$213,Uebersetzungen!$B$2+1,FALSE)</f>
        <v>Anzahl Personen</v>
      </c>
      <c r="J14" s="50" t="str">
        <f>VLOOKUP("&lt;SpaltenTitel_1.2&gt;",Uebersetzungen!$B$3:$E$213,Uebersetzungen!$B$2+1,FALSE)</f>
        <v>Vertrauens- intervall:          ± (in %)</v>
      </c>
      <c r="K14" s="61" t="str">
        <f>VLOOKUP("&lt;SpaltenTitel_1.1&gt;",Uebersetzungen!$B$3:$E$213,Uebersetzungen!$B$2+1,FALSE)</f>
        <v>Anzahl Personen</v>
      </c>
      <c r="L14" s="50" t="str">
        <f>VLOOKUP("&lt;SpaltenTitel_1.2&gt;",Uebersetzungen!$B$3:$E$213,Uebersetzungen!$B$2+1,FALSE)</f>
        <v>Vertrauens- intervall:          ± (in %)</v>
      </c>
      <c r="M14" s="61" t="str">
        <f>VLOOKUP("&lt;SpaltenTitel_1.1&gt;",Uebersetzungen!$B$3:$E$213,Uebersetzungen!$B$2+1,FALSE)</f>
        <v>Anzahl Personen</v>
      </c>
      <c r="N14" s="50" t="str">
        <f>VLOOKUP("&lt;SpaltenTitel_1.2&gt;",Uebersetzungen!$B$3:$E$213,Uebersetzungen!$B$2+1,FALSE)</f>
        <v>Vertrauens- intervall:          ± (in %)</v>
      </c>
      <c r="O14" s="61" t="str">
        <f>VLOOKUP("&lt;SpaltenTitel_1.1&gt;",Uebersetzungen!$B$3:$E$213,Uebersetzungen!$B$2+1,FALSE)</f>
        <v>Anzahl Personen</v>
      </c>
      <c r="P14" s="50" t="str">
        <f>VLOOKUP("&lt;SpaltenTitel_1.2&gt;",Uebersetzungen!$B$3:$E$213,Uebersetzungen!$B$2+1,FALSE)</f>
        <v>Vertrauens- intervall:          ± (in %)</v>
      </c>
      <c r="Q14" s="61" t="str">
        <f>VLOOKUP("&lt;SpaltenTitel_1.1&gt;",Uebersetzungen!$B$3:$E$213,Uebersetzungen!$B$2+1,FALSE)</f>
        <v>Anzahl Personen</v>
      </c>
      <c r="R14" s="50" t="str">
        <f>VLOOKUP("&lt;SpaltenTitel_1.2&gt;",Uebersetzungen!$B$3:$E$213,Uebersetzungen!$B$2+1,FALSE)</f>
        <v>Vertrauens- intervall:          ± (in %)</v>
      </c>
      <c r="S14" s="61" t="str">
        <f>VLOOKUP("&lt;SpaltenTitel_1.1&gt;",Uebersetzungen!$B$3:$E$213,Uebersetzungen!$B$2+1,FALSE)</f>
        <v>Anzahl Personen</v>
      </c>
      <c r="T14" s="50" t="str">
        <f>VLOOKUP("&lt;SpaltenTitel_1.2&gt;",Uebersetzungen!$B$3:$E$213,Uebersetzungen!$B$2+1,FALSE)</f>
        <v>Vertrauens- intervall:          ± (in %)</v>
      </c>
      <c r="U14" s="61" t="str">
        <f>VLOOKUP("&lt;SpaltenTitel_1.1&gt;",Uebersetzungen!$B$3:$E$213,Uebersetzungen!$B$2+1,FALSE)</f>
        <v>Anzahl Personen</v>
      </c>
      <c r="V14" s="62" t="str">
        <f>VLOOKUP("&lt;SpaltenTitel_1.2&gt;",Uebersetzungen!$B$3:$E$213,Uebersetzungen!$B$2+1,FALSE)</f>
        <v>Vertrauens- intervall:          ± (in %)</v>
      </c>
    </row>
    <row r="15" spans="1:22" ht="12" customHeight="1" x14ac:dyDescent="0.2">
      <c r="A15" s="53" t="str">
        <f>VLOOKUP("&lt;Zeilentitel_1&gt;",Uebersetzungen!$B$3:$E$212,Uebersetzungen!$B$2+1,FALSE)</f>
        <v>Total</v>
      </c>
      <c r="B15" s="53"/>
      <c r="C15" s="83">
        <v>174610.99999999709</v>
      </c>
      <c r="D15" s="79">
        <v>0.3394476774220202</v>
      </c>
      <c r="E15" s="89">
        <v>46451.277193643473</v>
      </c>
      <c r="F15" s="80">
        <v>4.5116948289593122</v>
      </c>
      <c r="G15" s="93">
        <v>65101.883424798158</v>
      </c>
      <c r="H15" s="79">
        <v>3.5879634808085252</v>
      </c>
      <c r="I15" s="93" t="s">
        <v>246</v>
      </c>
      <c r="J15" s="79" t="s">
        <v>246</v>
      </c>
      <c r="K15" s="93">
        <v>6136.4962923119074</v>
      </c>
      <c r="L15" s="79">
        <v>14.959262341930287</v>
      </c>
      <c r="M15" s="93" t="s">
        <v>246</v>
      </c>
      <c r="N15" s="79" t="s">
        <v>246</v>
      </c>
      <c r="O15" s="93">
        <v>4219.8234205898452</v>
      </c>
      <c r="P15" s="79">
        <v>18.760334076428254</v>
      </c>
      <c r="Q15" s="101">
        <v>1598.5394274393057</v>
      </c>
      <c r="R15" s="81">
        <v>29.958577182667494</v>
      </c>
      <c r="S15" s="93">
        <v>49609.497694288817</v>
      </c>
      <c r="T15" s="79">
        <v>4.3917965360513289</v>
      </c>
      <c r="U15" s="101">
        <v>1189.8598373863442</v>
      </c>
      <c r="V15" s="82">
        <v>33.168111090095223</v>
      </c>
    </row>
    <row r="16" spans="1:22" x14ac:dyDescent="0.2">
      <c r="A16" s="18" t="str">
        <f>VLOOKUP("&lt;Zeilentitel_2&gt;",Uebersetzungen!$B$3:$E$212,Uebersetzungen!$B$2+1,FALSE)</f>
        <v>Geschlecht</v>
      </c>
      <c r="B16" s="18" t="str">
        <f>VLOOKUP("&lt;Zeilentitel_2.1&gt;",Uebersetzungen!$B$3:$E$212,Uebersetzungen!$B$2+1,FALSE)</f>
        <v>Männer</v>
      </c>
      <c r="C16" s="84">
        <v>87537.999999998676</v>
      </c>
      <c r="D16" s="66">
        <v>2.8416627271316659</v>
      </c>
      <c r="E16" s="24">
        <v>22130.383386979163</v>
      </c>
      <c r="F16" s="69">
        <v>7.2120764451132047</v>
      </c>
      <c r="G16" s="26">
        <v>32873.71830781403</v>
      </c>
      <c r="H16" s="66">
        <v>5.8355517212009378</v>
      </c>
      <c r="I16" s="26" t="s">
        <v>246</v>
      </c>
      <c r="J16" s="66" t="s">
        <v>246</v>
      </c>
      <c r="K16" s="26">
        <v>2807.3179858833805</v>
      </c>
      <c r="L16" s="66">
        <v>22.81900095704113</v>
      </c>
      <c r="M16" s="26" t="s">
        <v>246</v>
      </c>
      <c r="N16" s="66" t="s">
        <v>246</v>
      </c>
      <c r="O16" s="26">
        <v>2058.6501979684349</v>
      </c>
      <c r="P16" s="66">
        <v>27.201413656034472</v>
      </c>
      <c r="Q16" s="95">
        <v>617.25422799763828</v>
      </c>
      <c r="R16" s="67">
        <v>50.147436677668864</v>
      </c>
      <c r="S16" s="26">
        <v>26349.677781482911</v>
      </c>
      <c r="T16" s="66">
        <v>6.6576124364557208</v>
      </c>
      <c r="U16" s="95">
        <v>513.46886183638242</v>
      </c>
      <c r="V16" s="63">
        <v>49.929125230764662</v>
      </c>
    </row>
    <row r="17" spans="1:22" x14ac:dyDescent="0.2">
      <c r="A17" s="19"/>
      <c r="B17" s="19" t="str">
        <f>VLOOKUP("&lt;Zeilentitel_2.2&gt;",Uebersetzungen!$B$3:$E$212,Uebersetzungen!$B$2+1,FALSE)</f>
        <v>Frauen</v>
      </c>
      <c r="C17" s="85">
        <v>87072.999999998399</v>
      </c>
      <c r="D17" s="73">
        <v>2.7106627575432012</v>
      </c>
      <c r="E17" s="90">
        <v>24320.893806664313</v>
      </c>
      <c r="F17" s="74">
        <v>6.6936382923759634</v>
      </c>
      <c r="G17" s="94">
        <v>32228.165116984128</v>
      </c>
      <c r="H17" s="73">
        <v>5.6889978015745193</v>
      </c>
      <c r="I17" s="94" t="s">
        <v>246</v>
      </c>
      <c r="J17" s="73" t="s">
        <v>246</v>
      </c>
      <c r="K17" s="94">
        <v>3329.1783064285273</v>
      </c>
      <c r="L17" s="73">
        <v>20.06657959507498</v>
      </c>
      <c r="M17" s="94" t="s">
        <v>246</v>
      </c>
      <c r="N17" s="73" t="s">
        <v>246</v>
      </c>
      <c r="O17" s="94">
        <v>2161.1732226214103</v>
      </c>
      <c r="P17" s="73">
        <v>26.166460788433987</v>
      </c>
      <c r="Q17" s="97">
        <v>981.28519944166726</v>
      </c>
      <c r="R17" s="75">
        <v>37.365084425846383</v>
      </c>
      <c r="S17" s="94">
        <v>23259.819912805906</v>
      </c>
      <c r="T17" s="73">
        <v>6.9146776958940217</v>
      </c>
      <c r="U17" s="97">
        <v>676.39097554996192</v>
      </c>
      <c r="V17" s="76">
        <v>44.487316650321013</v>
      </c>
    </row>
    <row r="18" spans="1:22" x14ac:dyDescent="0.2">
      <c r="A18" s="18" t="str">
        <f>VLOOKUP("&lt;Zeilentitel_3&gt;",Uebersetzungen!$B$3:$E$212,Uebersetzungen!$B$2+1,FALSE)</f>
        <v>Alter</v>
      </c>
      <c r="B18" s="18" t="str">
        <f>VLOOKUP("&lt;Zeilentitel_3.1&gt;",Uebersetzungen!$B$3:$E$212,Uebersetzungen!$B$2+1,FALSE)</f>
        <v>15-24</v>
      </c>
      <c r="C18" s="84">
        <v>18796.999999999985</v>
      </c>
      <c r="D18" s="66">
        <v>8.3769939210267985</v>
      </c>
      <c r="E18" s="24">
        <v>5266.054419093899</v>
      </c>
      <c r="F18" s="69">
        <v>16.040804235458545</v>
      </c>
      <c r="G18" s="26">
        <v>7391.3087222571639</v>
      </c>
      <c r="H18" s="66">
        <v>13.802801983641091</v>
      </c>
      <c r="I18" s="26" t="s">
        <v>246</v>
      </c>
      <c r="J18" s="66" t="s">
        <v>246</v>
      </c>
      <c r="K18" s="95">
        <v>816.58925144197633</v>
      </c>
      <c r="L18" s="67">
        <v>44.049087092129326</v>
      </c>
      <c r="M18" s="26" t="s">
        <v>246</v>
      </c>
      <c r="N18" s="66" t="s">
        <v>246</v>
      </c>
      <c r="O18" s="95">
        <v>646.80125270072926</v>
      </c>
      <c r="P18" s="67">
        <v>50.44577607965627</v>
      </c>
      <c r="Q18" s="95">
        <v>371.34433729262969</v>
      </c>
      <c r="R18" s="67">
        <v>64.842355294941697</v>
      </c>
      <c r="S18" s="26">
        <v>4196.1236838508248</v>
      </c>
      <c r="T18" s="66">
        <v>18.539453377411444</v>
      </c>
      <c r="U18" s="26" t="s">
        <v>246</v>
      </c>
      <c r="V18" s="64" t="s">
        <v>246</v>
      </c>
    </row>
    <row r="19" spans="1:22" x14ac:dyDescent="0.2">
      <c r="A19" s="18"/>
      <c r="B19" s="18" t="str">
        <f>VLOOKUP("&lt;Zeilentitel_3.2&gt;",Uebersetzungen!$B$3:$E$212,Uebersetzungen!$B$2+1,FALSE)</f>
        <v>25-44</v>
      </c>
      <c r="C19" s="84">
        <v>51462.999999998996</v>
      </c>
      <c r="D19" s="66">
        <v>4.4448967572292002</v>
      </c>
      <c r="E19" s="24">
        <v>10747.44845761047</v>
      </c>
      <c r="F19" s="69">
        <v>10.906305698766248</v>
      </c>
      <c r="G19" s="26">
        <v>16695.391151714033</v>
      </c>
      <c r="H19" s="66">
        <v>8.7438339120633497</v>
      </c>
      <c r="I19" s="26" t="s">
        <v>246</v>
      </c>
      <c r="J19" s="66" t="s">
        <v>246</v>
      </c>
      <c r="K19" s="26">
        <v>2325.369924616477</v>
      </c>
      <c r="L19" s="66">
        <v>25.516870052887505</v>
      </c>
      <c r="M19" s="26" t="s">
        <v>246</v>
      </c>
      <c r="N19" s="66" t="s">
        <v>246</v>
      </c>
      <c r="O19" s="26">
        <v>2118.9657936802992</v>
      </c>
      <c r="P19" s="66">
        <v>26.780177767741481</v>
      </c>
      <c r="Q19" s="95">
        <v>751.45321813913722</v>
      </c>
      <c r="R19" s="67">
        <v>43.464064282543468</v>
      </c>
      <c r="S19" s="26">
        <v>18643.643572644833</v>
      </c>
      <c r="T19" s="66">
        <v>8.2062103007335843</v>
      </c>
      <c r="U19" s="95">
        <v>180.72788159374267</v>
      </c>
      <c r="V19" s="63">
        <v>87.372997944564659</v>
      </c>
    </row>
    <row r="20" spans="1:22" x14ac:dyDescent="0.2">
      <c r="A20" s="18"/>
      <c r="B20" s="18" t="str">
        <f>VLOOKUP("&lt;Zeilentitel_3.3&gt;",Uebersetzungen!$B$3:$E$212,Uebersetzungen!$B$2+1,FALSE)</f>
        <v>45-64</v>
      </c>
      <c r="C20" s="84">
        <v>59159.999999999345</v>
      </c>
      <c r="D20" s="66">
        <v>3.7416967720996355</v>
      </c>
      <c r="E20" s="24">
        <v>14557.265652770162</v>
      </c>
      <c r="F20" s="69">
        <v>8.8610172307092956</v>
      </c>
      <c r="G20" s="26">
        <v>23301.193257153125</v>
      </c>
      <c r="H20" s="66">
        <v>6.8739179689300265</v>
      </c>
      <c r="I20" s="26" t="s">
        <v>246</v>
      </c>
      <c r="J20" s="66" t="s">
        <v>246</v>
      </c>
      <c r="K20" s="26">
        <v>1744.3589542926727</v>
      </c>
      <c r="L20" s="66">
        <v>27.116197272130577</v>
      </c>
      <c r="M20" s="26" t="s">
        <v>246</v>
      </c>
      <c r="N20" s="66" t="s">
        <v>246</v>
      </c>
      <c r="O20" s="96">
        <v>1094.3721300377431</v>
      </c>
      <c r="P20" s="67">
        <v>35.502151056110556</v>
      </c>
      <c r="Q20" s="95">
        <v>440.65079956345051</v>
      </c>
      <c r="R20" s="67">
        <v>56.203165604592122</v>
      </c>
      <c r="S20" s="26">
        <v>17610.318893655043</v>
      </c>
      <c r="T20" s="66">
        <v>8.0195976045473252</v>
      </c>
      <c r="U20" s="95">
        <v>325.02116151427703</v>
      </c>
      <c r="V20" s="63">
        <v>64.629794323615059</v>
      </c>
    </row>
    <row r="21" spans="1:22" x14ac:dyDescent="0.2">
      <c r="A21" s="19"/>
      <c r="B21" s="19" t="str">
        <f>VLOOKUP("&lt;Zeilentitel_3.4&gt;",Uebersetzungen!$B$3:$E$212,Uebersetzungen!$B$2+1,FALSE)</f>
        <v>65 und mehr</v>
      </c>
      <c r="C21" s="85">
        <v>45190.999999998807</v>
      </c>
      <c r="D21" s="73">
        <v>4.5137334996911473</v>
      </c>
      <c r="E21" s="90">
        <v>15880.50866416897</v>
      </c>
      <c r="F21" s="74">
        <v>8.4504307876224569</v>
      </c>
      <c r="G21" s="94">
        <v>17713.990293673891</v>
      </c>
      <c r="H21" s="73">
        <v>7.9829707246182391</v>
      </c>
      <c r="I21" s="94" t="s">
        <v>246</v>
      </c>
      <c r="J21" s="73" t="s">
        <v>246</v>
      </c>
      <c r="K21" s="98">
        <v>1250.1781619607846</v>
      </c>
      <c r="L21" s="75">
        <v>31.761527627888157</v>
      </c>
      <c r="M21" s="94" t="s">
        <v>246</v>
      </c>
      <c r="N21" s="73" t="s">
        <v>246</v>
      </c>
      <c r="O21" s="97">
        <v>359.68424417107468</v>
      </c>
      <c r="P21" s="75">
        <v>65.760166566054963</v>
      </c>
      <c r="Q21" s="94" t="s">
        <v>246</v>
      </c>
      <c r="R21" s="73" t="s">
        <v>246</v>
      </c>
      <c r="S21" s="94">
        <v>9159.4115441380909</v>
      </c>
      <c r="T21" s="73">
        <v>11.346267438527187</v>
      </c>
      <c r="U21" s="97">
        <v>575.33246091556202</v>
      </c>
      <c r="V21" s="76">
        <v>46.856455263208296</v>
      </c>
    </row>
    <row r="22" spans="1:22" x14ac:dyDescent="0.2">
      <c r="A22" s="18" t="str">
        <f>VLOOKUP("&lt;Zeilentitel_4&gt;",Uebersetzungen!$B$3:$E$212,Uebersetzungen!$B$2+1,FALSE)</f>
        <v>Staatsangehörigkeit</v>
      </c>
      <c r="B22" s="18" t="str">
        <f>VLOOKUP("&lt;Zeilentitel_4.1&gt;",Uebersetzungen!$B$3:$E$212,Uebersetzungen!$B$2+1,FALSE)</f>
        <v>Schweiz</v>
      </c>
      <c r="C22" s="84">
        <v>139295.99999999732</v>
      </c>
      <c r="D22" s="66">
        <v>1.3380059828042576</v>
      </c>
      <c r="E22" s="24">
        <v>44470.365469190067</v>
      </c>
      <c r="F22" s="69">
        <v>4.6422222750548148</v>
      </c>
      <c r="G22" s="26">
        <v>49689.951208671795</v>
      </c>
      <c r="H22" s="66">
        <v>4.2944168903930855</v>
      </c>
      <c r="I22" s="26" t="s">
        <v>246</v>
      </c>
      <c r="J22" s="66" t="s">
        <v>246</v>
      </c>
      <c r="K22" s="26">
        <v>3811.8177831265457</v>
      </c>
      <c r="L22" s="66">
        <v>18.414538464711125</v>
      </c>
      <c r="M22" s="26" t="s">
        <v>246</v>
      </c>
      <c r="N22" s="66" t="s">
        <v>246</v>
      </c>
      <c r="O22" s="96">
        <v>1434.4940834265783</v>
      </c>
      <c r="P22" s="67">
        <v>30.201902480757116</v>
      </c>
      <c r="Q22" s="95">
        <v>883.44183137321647</v>
      </c>
      <c r="R22" s="67">
        <v>39.709105566314221</v>
      </c>
      <c r="S22" s="26">
        <v>37944.237508373029</v>
      </c>
      <c r="T22" s="66">
        <v>5.1511796250131905</v>
      </c>
      <c r="U22" s="95">
        <v>926.6224135819914</v>
      </c>
      <c r="V22" s="63">
        <v>37.151739295144608</v>
      </c>
    </row>
    <row r="23" spans="1:22" x14ac:dyDescent="0.2">
      <c r="A23" s="18"/>
      <c r="B23" s="18" t="str">
        <f>VLOOKUP("&lt;Zeilentitel_4.2&gt;",Uebersetzungen!$B$3:$E$212,Uebersetzungen!$B$2+1,FALSE)</f>
        <v>EU und EFTA</v>
      </c>
      <c r="C23" s="84">
        <v>27958.370138491231</v>
      </c>
      <c r="D23" s="66">
        <v>6.6025354696033096</v>
      </c>
      <c r="E23" s="24">
        <v>1901.9128741426587</v>
      </c>
      <c r="F23" s="69">
        <v>26.327591901033639</v>
      </c>
      <c r="G23" s="26">
        <v>15043.43114264508</v>
      </c>
      <c r="H23" s="66">
        <v>9.4130244224414259</v>
      </c>
      <c r="I23" s="26" t="s">
        <v>246</v>
      </c>
      <c r="J23" s="66" t="s">
        <v>246</v>
      </c>
      <c r="K23" s="95">
        <v>961.19659510441863</v>
      </c>
      <c r="L23" s="67">
        <v>38.50486036536423</v>
      </c>
      <c r="M23" s="26" t="s">
        <v>246</v>
      </c>
      <c r="N23" s="66" t="s">
        <v>246</v>
      </c>
      <c r="O23" s="26" t="s">
        <v>246</v>
      </c>
      <c r="P23" s="66" t="s">
        <v>246</v>
      </c>
      <c r="Q23" s="26" t="s">
        <v>246</v>
      </c>
      <c r="R23" s="66" t="s">
        <v>246</v>
      </c>
      <c r="S23" s="26">
        <v>9608.2404581003393</v>
      </c>
      <c r="T23" s="66">
        <v>11.848380600159647</v>
      </c>
      <c r="U23" s="95">
        <v>174.2284636531183</v>
      </c>
      <c r="V23" s="63">
        <v>86.699344373179642</v>
      </c>
    </row>
    <row r="24" spans="1:22" x14ac:dyDescent="0.2">
      <c r="A24" s="18"/>
      <c r="B24" s="18" t="str">
        <f>VLOOKUP("&lt;Zeilentitel_4.3&gt;",Uebersetzungen!$B$3:$E$212,Uebersetzungen!$B$2+1,FALSE)</f>
        <v>Anderer europäischer Staat</v>
      </c>
      <c r="C24" s="84">
        <v>3796.6133258198647</v>
      </c>
      <c r="D24" s="66">
        <v>20.627411914711942</v>
      </c>
      <c r="E24" s="24" t="s">
        <v>246</v>
      </c>
      <c r="F24" s="69" t="s">
        <v>246</v>
      </c>
      <c r="G24" s="26" t="s">
        <v>246</v>
      </c>
      <c r="H24" s="66" t="s">
        <v>246</v>
      </c>
      <c r="I24" s="26" t="s">
        <v>246</v>
      </c>
      <c r="J24" s="66" t="s">
        <v>246</v>
      </c>
      <c r="K24" s="95">
        <v>901.36255468261254</v>
      </c>
      <c r="L24" s="67">
        <v>43.747169957936421</v>
      </c>
      <c r="M24" s="26" t="s">
        <v>246</v>
      </c>
      <c r="N24" s="66" t="s">
        <v>246</v>
      </c>
      <c r="O24" s="96">
        <v>1628.2183572265942</v>
      </c>
      <c r="P24" s="67">
        <v>31.342835423641805</v>
      </c>
      <c r="Q24" s="26" t="s">
        <v>246</v>
      </c>
      <c r="R24" s="66" t="s">
        <v>246</v>
      </c>
      <c r="S24" s="96">
        <v>1121.2510128334459</v>
      </c>
      <c r="T24" s="67">
        <v>37.626717717085839</v>
      </c>
      <c r="U24" s="26" t="s">
        <v>246</v>
      </c>
      <c r="V24" s="64" t="s">
        <v>246</v>
      </c>
    </row>
    <row r="25" spans="1:22" x14ac:dyDescent="0.2">
      <c r="A25" s="18"/>
      <c r="B25" s="18" t="str">
        <f>VLOOKUP("&lt;Zeilentitel_4.4&gt;",Uebersetzungen!$B$3:$E$212,Uebersetzungen!$B$2+1,FALSE)</f>
        <v>Aussereuropäischer Staat</v>
      </c>
      <c r="C25" s="84">
        <v>3560.0165356888851</v>
      </c>
      <c r="D25" s="66">
        <v>20.772325995727442</v>
      </c>
      <c r="E25" s="24" t="s">
        <v>246</v>
      </c>
      <c r="F25" s="69" t="s">
        <v>246</v>
      </c>
      <c r="G25" s="95">
        <v>316.98327857091448</v>
      </c>
      <c r="H25" s="67">
        <v>64.628397117344022</v>
      </c>
      <c r="I25" s="26" t="s">
        <v>246</v>
      </c>
      <c r="J25" s="66" t="s">
        <v>246</v>
      </c>
      <c r="K25" s="95">
        <v>462.11935939833103</v>
      </c>
      <c r="L25" s="67">
        <v>58.607205716663969</v>
      </c>
      <c r="M25" s="26" t="s">
        <v>246</v>
      </c>
      <c r="N25" s="66" t="s">
        <v>246</v>
      </c>
      <c r="O25" s="96">
        <v>1045.0003285555501</v>
      </c>
      <c r="P25" s="67">
        <v>39.676651484590224</v>
      </c>
      <c r="Q25" s="95">
        <v>674.62298466853247</v>
      </c>
      <c r="R25" s="67">
        <v>47.144067461181436</v>
      </c>
      <c r="S25" s="95">
        <v>935.76871498201626</v>
      </c>
      <c r="T25" s="67">
        <v>40.856348553215433</v>
      </c>
      <c r="U25" s="26" t="s">
        <v>246</v>
      </c>
      <c r="V25" s="64" t="s">
        <v>246</v>
      </c>
    </row>
    <row r="26" spans="1:22" x14ac:dyDescent="0.2">
      <c r="A26" s="19"/>
      <c r="B26" s="19" t="str">
        <f>VLOOKUP("&lt;Zeilentitel_4.5&gt;",Uebersetzungen!$B$3:$E$212,Uebersetzungen!$B$2+1,FALSE)</f>
        <v>Staatsangehörigkeit unbekannt</v>
      </c>
      <c r="C26" s="85" t="s">
        <v>246</v>
      </c>
      <c r="D26" s="73" t="s">
        <v>246</v>
      </c>
      <c r="E26" s="90" t="s">
        <v>246</v>
      </c>
      <c r="F26" s="74" t="s">
        <v>246</v>
      </c>
      <c r="G26" s="94" t="s">
        <v>246</v>
      </c>
      <c r="H26" s="73" t="s">
        <v>246</v>
      </c>
      <c r="I26" s="94" t="s">
        <v>246</v>
      </c>
      <c r="J26" s="73" t="s">
        <v>246</v>
      </c>
      <c r="K26" s="94" t="s">
        <v>246</v>
      </c>
      <c r="L26" s="73" t="s">
        <v>246</v>
      </c>
      <c r="M26" s="94" t="s">
        <v>246</v>
      </c>
      <c r="N26" s="73" t="s">
        <v>246</v>
      </c>
      <c r="O26" s="94" t="s">
        <v>246</v>
      </c>
      <c r="P26" s="73" t="s">
        <v>246</v>
      </c>
      <c r="Q26" s="94" t="s">
        <v>246</v>
      </c>
      <c r="R26" s="73" t="s">
        <v>246</v>
      </c>
      <c r="S26" s="94" t="s">
        <v>246</v>
      </c>
      <c r="T26" s="73" t="s">
        <v>246</v>
      </c>
      <c r="U26" s="94" t="s">
        <v>246</v>
      </c>
      <c r="V26" s="78" t="s">
        <v>246</v>
      </c>
    </row>
    <row r="27" spans="1:22" x14ac:dyDescent="0.2">
      <c r="A27" s="18" t="str">
        <f>VLOOKUP("&lt;Zeilentitel_5&gt;",Uebersetzungen!$B$3:$E$212,Uebersetzungen!$B$2+1,FALSE)</f>
        <v>Migrationsstatus</v>
      </c>
      <c r="B27" s="18" t="str">
        <f>VLOOKUP("&lt;Zeilentitel_5.1&gt;",Uebersetzungen!$B$3:$E$212,Uebersetzungen!$B$2+1,FALSE)</f>
        <v>Schweizer/innen ohne Migrationshintergrund</v>
      </c>
      <c r="C27" s="84">
        <v>120977.06466216047</v>
      </c>
      <c r="D27" s="66">
        <v>1.7908926997663728</v>
      </c>
      <c r="E27" s="24">
        <v>42230.019106590327</v>
      </c>
      <c r="F27" s="69">
        <v>4.807152203824387</v>
      </c>
      <c r="G27" s="26">
        <v>42534.347903123045</v>
      </c>
      <c r="H27" s="66">
        <v>4.7820209505866087</v>
      </c>
      <c r="I27" s="26" t="s">
        <v>246</v>
      </c>
      <c r="J27" s="66" t="s">
        <v>246</v>
      </c>
      <c r="K27" s="26">
        <v>2620.95329558495</v>
      </c>
      <c r="L27" s="66">
        <v>22.435339393922959</v>
      </c>
      <c r="M27" s="26" t="s">
        <v>246</v>
      </c>
      <c r="N27" s="66" t="s">
        <v>246</v>
      </c>
      <c r="O27" s="26" t="s">
        <v>246</v>
      </c>
      <c r="P27" s="66" t="s">
        <v>246</v>
      </c>
      <c r="Q27" s="95">
        <v>180.32806082523044</v>
      </c>
      <c r="R27" s="67">
        <v>86.975953089855651</v>
      </c>
      <c r="S27" s="26">
        <v>32386.163557885018</v>
      </c>
      <c r="T27" s="66">
        <v>5.6997106765537744</v>
      </c>
      <c r="U27" s="95">
        <v>822.43120290515947</v>
      </c>
      <c r="V27" s="63">
        <v>39.422544250197816</v>
      </c>
    </row>
    <row r="28" spans="1:22" x14ac:dyDescent="0.2">
      <c r="A28" s="18"/>
      <c r="B28" s="18" t="str">
        <f>VLOOKUP("&lt;Zeilentitel_5.2&gt;",Uebersetzungen!$B$3:$E$212,Uebersetzungen!$B$2+1,FALSE)</f>
        <v>Schweizer/innen mit Migrationshintergrund</v>
      </c>
      <c r="C28" s="84">
        <v>17229.463930897586</v>
      </c>
      <c r="D28" s="66">
        <v>8.1676596389216254</v>
      </c>
      <c r="E28" s="24">
        <v>1929.6870321915926</v>
      </c>
      <c r="F28" s="69">
        <v>25.546028538262952</v>
      </c>
      <c r="G28" s="26">
        <v>6848.9733295420556</v>
      </c>
      <c r="H28" s="66">
        <v>13.34935007705011</v>
      </c>
      <c r="I28" s="26" t="s">
        <v>246</v>
      </c>
      <c r="J28" s="66" t="s">
        <v>246</v>
      </c>
      <c r="K28" s="96">
        <v>1190.8644875415973</v>
      </c>
      <c r="L28" s="67">
        <v>32.696281200236882</v>
      </c>
      <c r="M28" s="26" t="s">
        <v>246</v>
      </c>
      <c r="N28" s="66" t="s">
        <v>246</v>
      </c>
      <c r="O28" s="96">
        <v>1331.3894667982029</v>
      </c>
      <c r="P28" s="67">
        <v>31.39097466443873</v>
      </c>
      <c r="Q28" s="95">
        <v>649.23098141742912</v>
      </c>
      <c r="R28" s="67">
        <v>45.659354741696504</v>
      </c>
      <c r="S28" s="26">
        <v>5172.6287092698612</v>
      </c>
      <c r="T28" s="66">
        <v>15.400661003028619</v>
      </c>
      <c r="U28" s="26" t="s">
        <v>246</v>
      </c>
      <c r="V28" s="64" t="s">
        <v>246</v>
      </c>
    </row>
    <row r="29" spans="1:22" x14ac:dyDescent="0.2">
      <c r="A29" s="18"/>
      <c r="B29" s="18" t="str">
        <f>VLOOKUP("&lt;Zeilentitel_5.3&gt;",Uebersetzungen!$B$3:$E$212,Uebersetzungen!$B$2+1,FALSE)</f>
        <v>Ausländer/innen der ersten Generation</v>
      </c>
      <c r="C29" s="84">
        <v>33029.91287449532</v>
      </c>
      <c r="D29" s="66">
        <v>6.0597300136581707</v>
      </c>
      <c r="E29" s="24">
        <v>1878.2105903939919</v>
      </c>
      <c r="F29" s="69">
        <v>26.582690261656499</v>
      </c>
      <c r="G29" s="26">
        <v>13988.411945337582</v>
      </c>
      <c r="H29" s="66">
        <v>9.7483785194648185</v>
      </c>
      <c r="I29" s="26" t="s">
        <v>246</v>
      </c>
      <c r="J29" s="66" t="s">
        <v>246</v>
      </c>
      <c r="K29" s="26">
        <v>2189.9526513051665</v>
      </c>
      <c r="L29" s="66">
        <v>26.644820725873107</v>
      </c>
      <c r="M29" s="26" t="s">
        <v>246</v>
      </c>
      <c r="N29" s="66" t="s">
        <v>246</v>
      </c>
      <c r="O29" s="26">
        <v>2785.3293371632667</v>
      </c>
      <c r="P29" s="66">
        <v>23.949706355555119</v>
      </c>
      <c r="Q29" s="95">
        <v>671.41157360154341</v>
      </c>
      <c r="R29" s="67">
        <v>47.133520429775409</v>
      </c>
      <c r="S29" s="26">
        <v>11084.806345604282</v>
      </c>
      <c r="T29" s="66">
        <v>11.094653275748909</v>
      </c>
      <c r="U29" s="95">
        <v>263.237423804353</v>
      </c>
      <c r="V29" s="63">
        <v>73.666808708382575</v>
      </c>
    </row>
    <row r="30" spans="1:22" x14ac:dyDescent="0.2">
      <c r="A30" s="18"/>
      <c r="B30" s="18" t="str">
        <f>VLOOKUP("&lt;Zeilentitel_5.4&gt;",Uebersetzungen!$B$3:$E$212,Uebersetzungen!$B$2+1,FALSE)</f>
        <v>Ausländer/innen der zweiten und höheren Generation</v>
      </c>
      <c r="C30" s="84">
        <v>2242.168735767219</v>
      </c>
      <c r="D30" s="66">
        <v>25.999294713757749</v>
      </c>
      <c r="E30" s="24" t="s">
        <v>246</v>
      </c>
      <c r="F30" s="69" t="s">
        <v>246</v>
      </c>
      <c r="G30" s="96">
        <v>1380.601881051459</v>
      </c>
      <c r="H30" s="67">
        <v>33.367514275286048</v>
      </c>
      <c r="I30" s="26" t="s">
        <v>246</v>
      </c>
      <c r="J30" s="66" t="s">
        <v>246</v>
      </c>
      <c r="K30" s="26" t="s">
        <v>246</v>
      </c>
      <c r="L30" s="66" t="s">
        <v>246</v>
      </c>
      <c r="M30" s="26" t="s">
        <v>246</v>
      </c>
      <c r="N30" s="66" t="s">
        <v>246</v>
      </c>
      <c r="O30" s="26" t="s">
        <v>246</v>
      </c>
      <c r="P30" s="66" t="s">
        <v>246</v>
      </c>
      <c r="Q30" s="26" t="s">
        <v>246</v>
      </c>
      <c r="R30" s="66" t="s">
        <v>246</v>
      </c>
      <c r="S30" s="95">
        <v>580.45384031152412</v>
      </c>
      <c r="T30" s="67">
        <v>50.57591518296389</v>
      </c>
      <c r="U30" s="26" t="s">
        <v>246</v>
      </c>
      <c r="V30" s="64" t="s">
        <v>246</v>
      </c>
    </row>
    <row r="31" spans="1:22" x14ac:dyDescent="0.2">
      <c r="A31" s="19"/>
      <c r="B31" s="19" t="str">
        <f>VLOOKUP("&lt;Zeilentitel_5.5&gt;",Uebersetzungen!$B$3:$E$212,Uebersetzungen!$B$2+1,FALSE)</f>
        <v>Migrationshintergrund unbekannt</v>
      </c>
      <c r="C31" s="86">
        <v>1132.3897966767222</v>
      </c>
      <c r="D31" s="75">
        <v>34.310289514586422</v>
      </c>
      <c r="E31" s="91">
        <v>310.65933040816208</v>
      </c>
      <c r="F31" s="77">
        <v>64.487516163073991</v>
      </c>
      <c r="G31" s="97">
        <v>349.54836574416612</v>
      </c>
      <c r="H31" s="75">
        <v>61.295638395866362</v>
      </c>
      <c r="I31" s="94" t="s">
        <v>246</v>
      </c>
      <c r="J31" s="73" t="s">
        <v>246</v>
      </c>
      <c r="K31" s="94" t="s">
        <v>246</v>
      </c>
      <c r="L31" s="73" t="s">
        <v>246</v>
      </c>
      <c r="M31" s="94" t="s">
        <v>246</v>
      </c>
      <c r="N31" s="73" t="s">
        <v>246</v>
      </c>
      <c r="O31" s="94" t="s">
        <v>246</v>
      </c>
      <c r="P31" s="73" t="s">
        <v>246</v>
      </c>
      <c r="Q31" s="94" t="s">
        <v>246</v>
      </c>
      <c r="R31" s="73" t="s">
        <v>246</v>
      </c>
      <c r="S31" s="97">
        <v>385.44524121811702</v>
      </c>
      <c r="T31" s="75">
        <v>58.434891328878223</v>
      </c>
      <c r="U31" s="94" t="s">
        <v>246</v>
      </c>
      <c r="V31" s="78" t="s">
        <v>246</v>
      </c>
    </row>
    <row r="32" spans="1:22" x14ac:dyDescent="0.2">
      <c r="A32" s="18" t="str">
        <f>VLOOKUP("&lt;Zeilentitel_6&gt;",Uebersetzungen!$B$3:$E$212,Uebersetzungen!$B$2+1,FALSE)</f>
        <v>Arbeitsmarktstatus</v>
      </c>
      <c r="B32" s="18" t="str">
        <f>VLOOKUP("&lt;Zeilentitel_6.1&gt;",Uebersetzungen!$B$3:$E$212,Uebersetzungen!$B$2+1,FALSE)</f>
        <v>Erwerbstätige</v>
      </c>
      <c r="C32" s="84">
        <v>106960.1375369459</v>
      </c>
      <c r="D32" s="66">
        <v>2.2331374480020441</v>
      </c>
      <c r="E32" s="24">
        <v>25922.134080820866</v>
      </c>
      <c r="F32" s="69">
        <v>6.5297701613015615</v>
      </c>
      <c r="G32" s="26">
        <v>39748.864215331239</v>
      </c>
      <c r="H32" s="66">
        <v>5.1209686173483142</v>
      </c>
      <c r="I32" s="26" t="s">
        <v>246</v>
      </c>
      <c r="J32" s="66" t="s">
        <v>246</v>
      </c>
      <c r="K32" s="26">
        <v>3594.6931399768546</v>
      </c>
      <c r="L32" s="66">
        <v>19.713743835500562</v>
      </c>
      <c r="M32" s="26" t="s">
        <v>246</v>
      </c>
      <c r="N32" s="66" t="s">
        <v>246</v>
      </c>
      <c r="O32" s="26">
        <v>2409.4279969850445</v>
      </c>
      <c r="P32" s="66">
        <v>24.756145107585375</v>
      </c>
      <c r="Q32" s="95">
        <v>879.26588218469965</v>
      </c>
      <c r="R32" s="67">
        <v>39.708946894622017</v>
      </c>
      <c r="S32" s="26">
        <v>33918.276834181597</v>
      </c>
      <c r="T32" s="66">
        <v>5.6353942574407148</v>
      </c>
      <c r="U32" s="95">
        <v>452.43390167090894</v>
      </c>
      <c r="V32" s="63">
        <v>53.646477674611518</v>
      </c>
    </row>
    <row r="33" spans="1:22" x14ac:dyDescent="0.2">
      <c r="A33" s="18"/>
      <c r="B33" s="18" t="str">
        <f>VLOOKUP("&lt;Zeilentitel_6.2&gt;",Uebersetzungen!$B$3:$E$212,Uebersetzungen!$B$2+1,FALSE)</f>
        <v>Erwerbslose</v>
      </c>
      <c r="C33" s="84">
        <v>2294.1767169753757</v>
      </c>
      <c r="D33" s="66">
        <v>25.854640307180468</v>
      </c>
      <c r="E33" s="92">
        <v>464.0071403891497</v>
      </c>
      <c r="F33" s="70">
        <v>56.352223102609301</v>
      </c>
      <c r="G33" s="95">
        <v>614.11756198185583</v>
      </c>
      <c r="H33" s="67">
        <v>50.100500294943686</v>
      </c>
      <c r="I33" s="26" t="s">
        <v>246</v>
      </c>
      <c r="J33" s="66" t="s">
        <v>246</v>
      </c>
      <c r="K33" s="95">
        <v>358.37656782711662</v>
      </c>
      <c r="L33" s="67">
        <v>66.232197149381989</v>
      </c>
      <c r="M33" s="26" t="s">
        <v>246</v>
      </c>
      <c r="N33" s="66" t="s">
        <v>246</v>
      </c>
      <c r="O33" s="26" t="s">
        <v>246</v>
      </c>
      <c r="P33" s="66" t="s">
        <v>246</v>
      </c>
      <c r="Q33" s="26" t="s">
        <v>246</v>
      </c>
      <c r="R33" s="66" t="s">
        <v>246</v>
      </c>
      <c r="S33" s="95">
        <v>654.87526716303933</v>
      </c>
      <c r="T33" s="67">
        <v>49.27258486101028</v>
      </c>
      <c r="U33" s="26" t="s">
        <v>246</v>
      </c>
      <c r="V33" s="64" t="s">
        <v>246</v>
      </c>
    </row>
    <row r="34" spans="1:22" x14ac:dyDescent="0.2">
      <c r="A34" s="19"/>
      <c r="B34" s="19" t="str">
        <f>VLOOKUP("&lt;Zeilentitel_6.3&gt;",Uebersetzungen!$B$3:$E$212,Uebersetzungen!$B$2+1,FALSE)</f>
        <v>Nichterwerbspersonen</v>
      </c>
      <c r="C34" s="85">
        <v>65356.685746075833</v>
      </c>
      <c r="D34" s="73">
        <v>3.5383544715876689</v>
      </c>
      <c r="E34" s="90">
        <v>20065.135972433483</v>
      </c>
      <c r="F34" s="74">
        <v>7.5072015773432801</v>
      </c>
      <c r="G34" s="94">
        <v>24738.901647485094</v>
      </c>
      <c r="H34" s="73">
        <v>6.7020517743540609</v>
      </c>
      <c r="I34" s="94" t="s">
        <v>246</v>
      </c>
      <c r="J34" s="73" t="s">
        <v>246</v>
      </c>
      <c r="K34" s="94">
        <v>2183.4265845079376</v>
      </c>
      <c r="L34" s="73">
        <v>25.043607437587159</v>
      </c>
      <c r="M34" s="94" t="s">
        <v>246</v>
      </c>
      <c r="N34" s="73" t="s">
        <v>246</v>
      </c>
      <c r="O34" s="98">
        <v>1732.4028610367516</v>
      </c>
      <c r="P34" s="75">
        <v>29.784412283159991</v>
      </c>
      <c r="Q34" s="97">
        <v>646.24359342662774</v>
      </c>
      <c r="R34" s="75">
        <v>48.558425431972687</v>
      </c>
      <c r="S34" s="94">
        <v>15036.345592944166</v>
      </c>
      <c r="T34" s="73">
        <v>8.9239362290479729</v>
      </c>
      <c r="U34" s="97">
        <v>737.42593571543534</v>
      </c>
      <c r="V34" s="76">
        <v>42.30860006821348</v>
      </c>
    </row>
    <row r="35" spans="1:22" ht="12.75" customHeight="1" x14ac:dyDescent="0.2">
      <c r="A35" s="22" t="str">
        <f>VLOOKUP("&lt;Zeilentitel_7&gt;",Uebersetzungen!$B$3:$E$212,Uebersetzungen!$B$2+1,FALSE)</f>
        <v>Sozioprofessionelle Kategorien</v>
      </c>
      <c r="B35" s="22" t="str">
        <f>VLOOKUP("&lt;Zeilentitel_7.1&gt;",Uebersetzungen!$B$3:$E$212,Uebersetzungen!$B$2+1,FALSE)</f>
        <v>Oberstes Management</v>
      </c>
      <c r="C35" s="84">
        <v>2692.4614986601082</v>
      </c>
      <c r="D35" s="66">
        <v>21.746551361625542</v>
      </c>
      <c r="E35" s="92">
        <v>561.98011469606843</v>
      </c>
      <c r="F35" s="70">
        <v>46.909466972458809</v>
      </c>
      <c r="G35" s="96">
        <v>1337.2793954592087</v>
      </c>
      <c r="H35" s="67">
        <v>30.597245820039909</v>
      </c>
      <c r="I35" s="26" t="s">
        <v>246</v>
      </c>
      <c r="J35" s="66" t="s">
        <v>246</v>
      </c>
      <c r="K35" s="26" t="s">
        <v>246</v>
      </c>
      <c r="L35" s="66" t="s">
        <v>246</v>
      </c>
      <c r="M35" s="26" t="s">
        <v>246</v>
      </c>
      <c r="N35" s="66" t="s">
        <v>246</v>
      </c>
      <c r="O35" s="26" t="s">
        <v>246</v>
      </c>
      <c r="P35" s="66" t="s">
        <v>246</v>
      </c>
      <c r="Q35" s="26" t="s">
        <v>246</v>
      </c>
      <c r="R35" s="66" t="s">
        <v>246</v>
      </c>
      <c r="S35" s="95">
        <v>565.37111809819908</v>
      </c>
      <c r="T35" s="67">
        <v>48.948789647223279</v>
      </c>
      <c r="U35" s="26" t="s">
        <v>246</v>
      </c>
      <c r="V35" s="64" t="s">
        <v>246</v>
      </c>
    </row>
    <row r="36" spans="1:22" x14ac:dyDescent="0.2">
      <c r="A36" s="18"/>
      <c r="B36" s="18" t="str">
        <f>VLOOKUP("&lt;Zeilentitel_7.2&gt;",Uebersetzungen!$B$3:$E$212,Uebersetzungen!$B$2+1,FALSE)</f>
        <v>Freie und gleichgestellte Berufe</v>
      </c>
      <c r="C36" s="84">
        <v>2805.8072395718659</v>
      </c>
      <c r="D36" s="66">
        <v>21.179835407272392</v>
      </c>
      <c r="E36" s="92">
        <v>775.3936054142755</v>
      </c>
      <c r="F36" s="70">
        <v>40.380964052889027</v>
      </c>
      <c r="G36" s="95">
        <v>690.66151408353699</v>
      </c>
      <c r="H36" s="67">
        <v>42.674236801215486</v>
      </c>
      <c r="I36" s="26" t="s">
        <v>246</v>
      </c>
      <c r="J36" s="66" t="s">
        <v>246</v>
      </c>
      <c r="K36" s="26" t="s">
        <v>246</v>
      </c>
      <c r="L36" s="66" t="s">
        <v>246</v>
      </c>
      <c r="M36" s="26" t="s">
        <v>246</v>
      </c>
      <c r="N36" s="66" t="s">
        <v>246</v>
      </c>
      <c r="O36" s="26" t="s">
        <v>246</v>
      </c>
      <c r="P36" s="66" t="s">
        <v>246</v>
      </c>
      <c r="Q36" s="26" t="s">
        <v>246</v>
      </c>
      <c r="R36" s="66" t="s">
        <v>246</v>
      </c>
      <c r="S36" s="96">
        <v>1198.5964726162056</v>
      </c>
      <c r="T36" s="67">
        <v>32.678493682087591</v>
      </c>
      <c r="U36" s="26" t="s">
        <v>246</v>
      </c>
      <c r="V36" s="64" t="s">
        <v>246</v>
      </c>
    </row>
    <row r="37" spans="1:22" x14ac:dyDescent="0.2">
      <c r="A37" s="18"/>
      <c r="B37" s="18" t="str">
        <f>VLOOKUP("&lt;Zeilentitel_7.3&gt;",Uebersetzungen!$B$3:$E$212,Uebersetzungen!$B$2+1,FALSE)</f>
        <v>Andere Selbstständige</v>
      </c>
      <c r="C37" s="84">
        <v>12242.053867118348</v>
      </c>
      <c r="D37" s="66">
        <v>10.034434969579337</v>
      </c>
      <c r="E37" s="24">
        <v>3993.8136734295417</v>
      </c>
      <c r="F37" s="69">
        <v>17.896051784363806</v>
      </c>
      <c r="G37" s="26">
        <v>4399.4485364685006</v>
      </c>
      <c r="H37" s="66">
        <v>17.225155883736786</v>
      </c>
      <c r="I37" s="26" t="s">
        <v>246</v>
      </c>
      <c r="J37" s="66" t="s">
        <v>246</v>
      </c>
      <c r="K37" s="95">
        <v>312.08144628357923</v>
      </c>
      <c r="L37" s="67">
        <v>64.661596162628982</v>
      </c>
      <c r="M37" s="26" t="s">
        <v>246</v>
      </c>
      <c r="N37" s="66" t="s">
        <v>246</v>
      </c>
      <c r="O37" s="26" t="s">
        <v>246</v>
      </c>
      <c r="P37" s="66" t="s">
        <v>246</v>
      </c>
      <c r="Q37" s="26" t="s">
        <v>246</v>
      </c>
      <c r="R37" s="66" t="s">
        <v>246</v>
      </c>
      <c r="S37" s="26">
        <v>3230.3962548273712</v>
      </c>
      <c r="T37" s="66">
        <v>19.975805190957324</v>
      </c>
      <c r="U37" s="26" t="s">
        <v>246</v>
      </c>
      <c r="V37" s="64" t="s">
        <v>246</v>
      </c>
    </row>
    <row r="38" spans="1:22" x14ac:dyDescent="0.2">
      <c r="A38" s="18"/>
      <c r="B38" s="18" t="str">
        <f>VLOOKUP("&lt;Zeilentitel_7.4&gt;",Uebersetzungen!$B$3:$E$212,Uebersetzungen!$B$2+1,FALSE)</f>
        <v>Akademische Berufe und oberes Kader</v>
      </c>
      <c r="C38" s="84">
        <v>16131.724467909728</v>
      </c>
      <c r="D38" s="66">
        <v>8.5165148068226468</v>
      </c>
      <c r="E38" s="24">
        <v>3400.2788200202172</v>
      </c>
      <c r="F38" s="69">
        <v>19.287747421365196</v>
      </c>
      <c r="G38" s="26">
        <v>5312.614110668399</v>
      </c>
      <c r="H38" s="66">
        <v>15.263428592500629</v>
      </c>
      <c r="I38" s="26" t="s">
        <v>246</v>
      </c>
      <c r="J38" s="66" t="s">
        <v>246</v>
      </c>
      <c r="K38" s="95">
        <v>283.6483624173311</v>
      </c>
      <c r="L38" s="67">
        <v>68.471434973152768</v>
      </c>
      <c r="M38" s="26" t="s">
        <v>246</v>
      </c>
      <c r="N38" s="66" t="s">
        <v>246</v>
      </c>
      <c r="O38" s="26" t="s">
        <v>246</v>
      </c>
      <c r="P38" s="66" t="s">
        <v>246</v>
      </c>
      <c r="Q38" s="26" t="s">
        <v>246</v>
      </c>
      <c r="R38" s="66" t="s">
        <v>246</v>
      </c>
      <c r="S38" s="26">
        <v>6896.5609546411069</v>
      </c>
      <c r="T38" s="66">
        <v>13.452117955317732</v>
      </c>
      <c r="U38" s="26" t="s">
        <v>246</v>
      </c>
      <c r="V38" s="64" t="s">
        <v>246</v>
      </c>
    </row>
    <row r="39" spans="1:22" x14ac:dyDescent="0.2">
      <c r="A39" s="18"/>
      <c r="B39" s="18" t="str">
        <f>VLOOKUP("&lt;Zeilentitel_7.5&gt;",Uebersetzungen!$B$3:$E$212,Uebersetzungen!$B$2+1,FALSE)</f>
        <v>Intermediäre Berufe</v>
      </c>
      <c r="C39" s="84">
        <v>32353.683494224046</v>
      </c>
      <c r="D39" s="66">
        <v>5.7730507066936676</v>
      </c>
      <c r="E39" s="24">
        <v>7935.4984074327949</v>
      </c>
      <c r="F39" s="69">
        <v>12.426356605982484</v>
      </c>
      <c r="G39" s="26">
        <v>11116.932746402379</v>
      </c>
      <c r="H39" s="66">
        <v>10.575882315570867</v>
      </c>
      <c r="I39" s="26" t="s">
        <v>246</v>
      </c>
      <c r="J39" s="66" t="s">
        <v>246</v>
      </c>
      <c r="K39" s="96">
        <v>1139.5714854579096</v>
      </c>
      <c r="L39" s="67">
        <v>35.022946476595699</v>
      </c>
      <c r="M39" s="26" t="s">
        <v>246</v>
      </c>
      <c r="N39" s="66" t="s">
        <v>246</v>
      </c>
      <c r="O39" s="95">
        <v>803.73707609728058</v>
      </c>
      <c r="P39" s="67">
        <v>41.406272122611234</v>
      </c>
      <c r="Q39" s="95">
        <v>349.33221354995294</v>
      </c>
      <c r="R39" s="67">
        <v>65.054663164738031</v>
      </c>
      <c r="S39" s="26">
        <v>10905.949130750709</v>
      </c>
      <c r="T39" s="66">
        <v>10.662858570760232</v>
      </c>
      <c r="U39" s="26" t="s">
        <v>246</v>
      </c>
      <c r="V39" s="64" t="s">
        <v>246</v>
      </c>
    </row>
    <row r="40" spans="1:22" x14ac:dyDescent="0.2">
      <c r="A40" s="18"/>
      <c r="B40" s="18" t="str">
        <f>VLOOKUP("&lt;Zeilentitel_7.6&gt;",Uebersetzungen!$B$3:$E$212,Uebersetzungen!$B$2+1,FALSE)</f>
        <v>Qualifizierte nichtmanuelle Berufe</v>
      </c>
      <c r="C40" s="84">
        <v>19713.229261553577</v>
      </c>
      <c r="D40" s="66">
        <v>7.7075461590373893</v>
      </c>
      <c r="E40" s="24">
        <v>5042.849131754283</v>
      </c>
      <c r="F40" s="69">
        <v>15.721360695932889</v>
      </c>
      <c r="G40" s="26">
        <v>7284.7586173902773</v>
      </c>
      <c r="H40" s="66">
        <v>13.201131852529265</v>
      </c>
      <c r="I40" s="26" t="s">
        <v>246</v>
      </c>
      <c r="J40" s="66" t="s">
        <v>246</v>
      </c>
      <c r="K40" s="95">
        <v>837.63256872985971</v>
      </c>
      <c r="L40" s="67">
        <v>40.432385952860798</v>
      </c>
      <c r="M40" s="26" t="s">
        <v>246</v>
      </c>
      <c r="N40" s="66" t="s">
        <v>246</v>
      </c>
      <c r="O40" s="95">
        <v>382.52387146459654</v>
      </c>
      <c r="P40" s="67">
        <v>62.497254836034642</v>
      </c>
      <c r="Q40" s="95">
        <v>213.44848434285302</v>
      </c>
      <c r="R40" s="67">
        <v>79.210888842901952</v>
      </c>
      <c r="S40" s="26">
        <v>5842.0231873503481</v>
      </c>
      <c r="T40" s="66">
        <v>14.780417374538763</v>
      </c>
      <c r="U40" s="26" t="s">
        <v>246</v>
      </c>
      <c r="V40" s="64" t="s">
        <v>246</v>
      </c>
    </row>
    <row r="41" spans="1:22" x14ac:dyDescent="0.2">
      <c r="A41" s="18"/>
      <c r="B41" s="18" t="str">
        <f>VLOOKUP("&lt;Zeilentitel_7.7&gt;",Uebersetzungen!$B$3:$E$212,Uebersetzungen!$B$2+1,FALSE)</f>
        <v>Qualifizierte manuelle Berufe</v>
      </c>
      <c r="C41" s="84">
        <v>10072.445541539708</v>
      </c>
      <c r="D41" s="66">
        <v>11.593248132360143</v>
      </c>
      <c r="E41" s="24">
        <v>2569.6022208421005</v>
      </c>
      <c r="F41" s="69">
        <v>22.874752611582558</v>
      </c>
      <c r="G41" s="26">
        <v>4000.2999532189901</v>
      </c>
      <c r="H41" s="66">
        <v>18.817625336706314</v>
      </c>
      <c r="I41" s="26" t="s">
        <v>246</v>
      </c>
      <c r="J41" s="66" t="s">
        <v>246</v>
      </c>
      <c r="K41" s="95">
        <v>343.36436058069955</v>
      </c>
      <c r="L41" s="67">
        <v>70.610651266468494</v>
      </c>
      <c r="M41" s="26" t="s">
        <v>246</v>
      </c>
      <c r="N41" s="66" t="s">
        <v>246</v>
      </c>
      <c r="O41" s="95">
        <v>215.63493385646285</v>
      </c>
      <c r="P41" s="67">
        <v>79.387696327112593</v>
      </c>
      <c r="Q41" s="26" t="s">
        <v>246</v>
      </c>
      <c r="R41" s="66" t="s">
        <v>246</v>
      </c>
      <c r="S41" s="26">
        <v>2874.736894916723</v>
      </c>
      <c r="T41" s="66">
        <v>22.197338488970573</v>
      </c>
      <c r="U41" s="26" t="s">
        <v>246</v>
      </c>
      <c r="V41" s="64" t="s">
        <v>246</v>
      </c>
    </row>
    <row r="42" spans="1:22" x14ac:dyDescent="0.2">
      <c r="A42" s="18"/>
      <c r="B42" s="18" t="str">
        <f>VLOOKUP("&lt;Zeilentitel_7.8&gt;",Uebersetzungen!$B$3:$E$212,Uebersetzungen!$B$2+1,FALSE)</f>
        <v>Ungelernte Angestellte und Arbeiter/innen</v>
      </c>
      <c r="C42" s="84">
        <v>6821.9592610729987</v>
      </c>
      <c r="D42" s="66">
        <v>14.072757841029521</v>
      </c>
      <c r="E42" s="92">
        <v>630.70350750671219</v>
      </c>
      <c r="F42" s="70">
        <v>45.704050936489722</v>
      </c>
      <c r="G42" s="26">
        <v>4220.8265460767725</v>
      </c>
      <c r="H42" s="66">
        <v>17.957418920026488</v>
      </c>
      <c r="I42" s="26" t="s">
        <v>246</v>
      </c>
      <c r="J42" s="66" t="s">
        <v>246</v>
      </c>
      <c r="K42" s="26" t="s">
        <v>246</v>
      </c>
      <c r="L42" s="66" t="s">
        <v>246</v>
      </c>
      <c r="M42" s="26" t="s">
        <v>246</v>
      </c>
      <c r="N42" s="66" t="s">
        <v>246</v>
      </c>
      <c r="O42" s="95">
        <v>405.87755670727665</v>
      </c>
      <c r="P42" s="67">
        <v>62.004765244011971</v>
      </c>
      <c r="Q42" s="26" t="s">
        <v>246</v>
      </c>
      <c r="R42" s="66" t="s">
        <v>246</v>
      </c>
      <c r="S42" s="96">
        <v>1334.9395378851852</v>
      </c>
      <c r="T42" s="67">
        <v>32.841827189072511</v>
      </c>
      <c r="U42" s="26" t="s">
        <v>246</v>
      </c>
      <c r="V42" s="64" t="s">
        <v>246</v>
      </c>
    </row>
    <row r="43" spans="1:22" ht="14.25" customHeight="1" x14ac:dyDescent="0.2">
      <c r="A43" s="18"/>
      <c r="B43" s="18" t="str">
        <f>VLOOKUP("&lt;Zeilentitel_7.9&gt;",Uebersetzungen!$B$3:$E$212,Uebersetzungen!$B$2+1,FALSE)</f>
        <v>Lernende in dualer beruflicher Grundbildung (Lehrlinge)</v>
      </c>
      <c r="C43" s="84">
        <v>2736.1942365328941</v>
      </c>
      <c r="D43" s="66">
        <v>22.595748930549558</v>
      </c>
      <c r="E43" s="92">
        <v>761.71414037737281</v>
      </c>
      <c r="F43" s="70">
        <v>42.13594860361993</v>
      </c>
      <c r="G43" s="96">
        <v>1128.9441877188297</v>
      </c>
      <c r="H43" s="67">
        <v>35.380738319345276</v>
      </c>
      <c r="I43" s="26" t="s">
        <v>246</v>
      </c>
      <c r="J43" s="66" t="s">
        <v>246</v>
      </c>
      <c r="K43" s="26" t="s">
        <v>246</v>
      </c>
      <c r="L43" s="66" t="s">
        <v>246</v>
      </c>
      <c r="M43" s="26" t="s">
        <v>246</v>
      </c>
      <c r="N43" s="66" t="s">
        <v>246</v>
      </c>
      <c r="O43" s="26" t="s">
        <v>246</v>
      </c>
      <c r="P43" s="66" t="s">
        <v>246</v>
      </c>
      <c r="Q43" s="26" t="s">
        <v>246</v>
      </c>
      <c r="R43" s="66" t="s">
        <v>246</v>
      </c>
      <c r="S43" s="95">
        <v>506.73322028122686</v>
      </c>
      <c r="T43" s="67">
        <v>51.785834554086705</v>
      </c>
      <c r="U43" s="26" t="s">
        <v>246</v>
      </c>
      <c r="V43" s="64" t="s">
        <v>246</v>
      </c>
    </row>
    <row r="44" spans="1:22" ht="25.5" x14ac:dyDescent="0.2">
      <c r="A44" s="18"/>
      <c r="B44" s="18" t="str">
        <f>VLOOKUP("&lt;Zeilentitel_7.10&gt;",Uebersetzungen!$B$3:$E$212,Uebersetzungen!$B$2+1,FALSE)</f>
        <v>Nicht zuteilbare Erwerbstätige (fehlende oder unklare Basisdaten)</v>
      </c>
      <c r="C44" s="87">
        <v>1390.578668762628</v>
      </c>
      <c r="D44" s="67">
        <v>32.063765901593527</v>
      </c>
      <c r="E44" s="92">
        <v>250.30045934750876</v>
      </c>
      <c r="F44" s="70">
        <v>73.382937733502672</v>
      </c>
      <c r="G44" s="95">
        <v>257.09860784435011</v>
      </c>
      <c r="H44" s="67">
        <v>73.756197534636996</v>
      </c>
      <c r="I44" s="26" t="s">
        <v>246</v>
      </c>
      <c r="J44" s="66" t="s">
        <v>246</v>
      </c>
      <c r="K44" s="26" t="s">
        <v>246</v>
      </c>
      <c r="L44" s="66" t="s">
        <v>246</v>
      </c>
      <c r="M44" s="26" t="s">
        <v>246</v>
      </c>
      <c r="N44" s="66" t="s">
        <v>246</v>
      </c>
      <c r="O44" s="26" t="s">
        <v>246</v>
      </c>
      <c r="P44" s="66" t="s">
        <v>246</v>
      </c>
      <c r="Q44" s="26" t="s">
        <v>246</v>
      </c>
      <c r="R44" s="66" t="s">
        <v>246</v>
      </c>
      <c r="S44" s="95">
        <v>562.97006281451092</v>
      </c>
      <c r="T44" s="67">
        <v>48.312913199939594</v>
      </c>
      <c r="U44" s="26" t="s">
        <v>246</v>
      </c>
      <c r="V44" s="64" t="s">
        <v>246</v>
      </c>
    </row>
    <row r="45" spans="1:22" x14ac:dyDescent="0.2">
      <c r="A45" s="19"/>
      <c r="B45" s="19" t="str">
        <f>VLOOKUP("&lt;Zeilentitel_7.11&gt;",Uebersetzungen!$B$3:$E$212,Uebersetzungen!$B$2+1,FALSE)</f>
        <v>Erwerbslose und Nichterwerbspersonen</v>
      </c>
      <c r="C45" s="85">
        <v>67650.862463051206</v>
      </c>
      <c r="D45" s="73">
        <v>3.4588483113999771</v>
      </c>
      <c r="E45" s="90">
        <v>20529.143112822629</v>
      </c>
      <c r="F45" s="74">
        <v>7.4250178935892119</v>
      </c>
      <c r="G45" s="94">
        <v>25353.019209466951</v>
      </c>
      <c r="H45" s="73">
        <v>6.6247130063361972</v>
      </c>
      <c r="I45" s="94" t="s">
        <v>246</v>
      </c>
      <c r="J45" s="73" t="s">
        <v>246</v>
      </c>
      <c r="K45" s="94">
        <v>2541.8031523350537</v>
      </c>
      <c r="L45" s="73">
        <v>23.413334898034357</v>
      </c>
      <c r="M45" s="94" t="s">
        <v>246</v>
      </c>
      <c r="N45" s="73" t="s">
        <v>246</v>
      </c>
      <c r="O45" s="98">
        <v>1810.3954236048014</v>
      </c>
      <c r="P45" s="75">
        <v>29.095164514749264</v>
      </c>
      <c r="Q45" s="97">
        <v>719.27354525460578</v>
      </c>
      <c r="R45" s="75">
        <v>45.771560598650389</v>
      </c>
      <c r="S45" s="94">
        <v>15691.220860107207</v>
      </c>
      <c r="T45" s="73">
        <v>8.761181118451324</v>
      </c>
      <c r="U45" s="97">
        <v>737.42593571543534</v>
      </c>
      <c r="V45" s="76">
        <v>42.30860006821348</v>
      </c>
    </row>
    <row r="46" spans="1:22" ht="13.5" customHeight="1" x14ac:dyDescent="0.2">
      <c r="A46" s="20" t="str">
        <f>VLOOKUP("&lt;Zeilentitel_8&gt;",Uebersetzungen!$B$3:$E$212,Uebersetzungen!$B$2+1,FALSE)</f>
        <v>Höchste abgeschlossene Ausbildung</v>
      </c>
      <c r="B46" s="20" t="str">
        <f>VLOOKUP("&lt;Zeilentitel_8.1&gt;",Uebersetzungen!$B$3:$E$212,Uebersetzungen!$B$2+1,FALSE)</f>
        <v>Ohne nachobligatorische Ausbildung</v>
      </c>
      <c r="C46" s="84">
        <v>34830.749924816475</v>
      </c>
      <c r="D46" s="66">
        <v>5.6363231755720413</v>
      </c>
      <c r="E46" s="24">
        <v>6461.4369588012723</v>
      </c>
      <c r="F46" s="69">
        <v>13.93928903413854</v>
      </c>
      <c r="G46" s="26">
        <v>17989.145182831151</v>
      </c>
      <c r="H46" s="66">
        <v>8.2356950107374374</v>
      </c>
      <c r="I46" s="26" t="s">
        <v>246</v>
      </c>
      <c r="J46" s="66" t="s">
        <v>246</v>
      </c>
      <c r="K46" s="96">
        <v>1179.0562330410662</v>
      </c>
      <c r="L46" s="67">
        <v>35.096634893493828</v>
      </c>
      <c r="M46" s="26" t="s">
        <v>246</v>
      </c>
      <c r="N46" s="66" t="s">
        <v>246</v>
      </c>
      <c r="O46" s="26">
        <v>2043.4214054380086</v>
      </c>
      <c r="P46" s="66">
        <v>27.04763204512069</v>
      </c>
      <c r="Q46" s="95">
        <v>447.01286758172449</v>
      </c>
      <c r="R46" s="67">
        <v>56.155727001932462</v>
      </c>
      <c r="S46" s="26">
        <v>6450.917584402685</v>
      </c>
      <c r="T46" s="66">
        <v>14.464779891092311</v>
      </c>
      <c r="U46" s="95">
        <v>259.75969272056773</v>
      </c>
      <c r="V46" s="63">
        <v>73.438746213147141</v>
      </c>
    </row>
    <row r="47" spans="1:22" x14ac:dyDescent="0.2">
      <c r="A47" s="21"/>
      <c r="B47" s="21" t="str">
        <f>VLOOKUP("&lt;Zeilentitel_8.2&gt;",Uebersetzungen!$B$3:$E$212,Uebersetzungen!$B$2+1,FALSE)</f>
        <v>Sekundarstufe II</v>
      </c>
      <c r="C47" s="84">
        <v>80390.82094942726</v>
      </c>
      <c r="D47" s="66">
        <v>3.0161514322530447</v>
      </c>
      <c r="E47" s="24">
        <v>23982.000337285979</v>
      </c>
      <c r="F47" s="69">
        <v>6.8461992448495375</v>
      </c>
      <c r="G47" s="26">
        <v>29449.742070434804</v>
      </c>
      <c r="H47" s="66">
        <v>6.1315077457861609</v>
      </c>
      <c r="I47" s="26" t="s">
        <v>246</v>
      </c>
      <c r="J47" s="66" t="s">
        <v>246</v>
      </c>
      <c r="K47" s="26">
        <v>3227.5599327724262</v>
      </c>
      <c r="L47" s="66">
        <v>20.849819282223681</v>
      </c>
      <c r="M47" s="26" t="s">
        <v>246</v>
      </c>
      <c r="N47" s="66" t="s">
        <v>246</v>
      </c>
      <c r="O47" s="96">
        <v>1277.6115173750268</v>
      </c>
      <c r="P47" s="67">
        <v>35.245011547142255</v>
      </c>
      <c r="Q47" s="95">
        <v>514.22289833564969</v>
      </c>
      <c r="R47" s="67">
        <v>51.858053814862295</v>
      </c>
      <c r="S47" s="26">
        <v>21094.903462439383</v>
      </c>
      <c r="T47" s="66">
        <v>7.4934127918624585</v>
      </c>
      <c r="U47" s="95">
        <v>660.17637446361118</v>
      </c>
      <c r="V47" s="63">
        <v>44.372831266513316</v>
      </c>
    </row>
    <row r="48" spans="1:22" ht="13.5" thickBot="1" x14ac:dyDescent="0.25">
      <c r="A48" s="23"/>
      <c r="B48" s="23" t="str">
        <f>VLOOKUP("&lt;Zeilentitel_8.3&gt;",Uebersetzungen!$B$3:$E$212,Uebersetzungen!$B$2+1,FALSE)</f>
        <v>Tertiärstufe</v>
      </c>
      <c r="C48" s="88">
        <v>59389.429125753384</v>
      </c>
      <c r="D48" s="68">
        <v>3.7837661322369631</v>
      </c>
      <c r="E48" s="25">
        <v>16007.839897556236</v>
      </c>
      <c r="F48" s="71">
        <v>8.4886317166945293</v>
      </c>
      <c r="G48" s="27">
        <v>17662.996171532239</v>
      </c>
      <c r="H48" s="68">
        <v>8.1010653607721395</v>
      </c>
      <c r="I48" s="27" t="s">
        <v>246</v>
      </c>
      <c r="J48" s="68" t="s">
        <v>246</v>
      </c>
      <c r="K48" s="99">
        <v>1729.8801264984172</v>
      </c>
      <c r="L48" s="72">
        <v>28.064575409599861</v>
      </c>
      <c r="M48" s="27" t="s">
        <v>246</v>
      </c>
      <c r="N48" s="68" t="s">
        <v>246</v>
      </c>
      <c r="O48" s="100">
        <v>898.79049777681018</v>
      </c>
      <c r="P48" s="72">
        <v>39.626550616416488</v>
      </c>
      <c r="Q48" s="100">
        <v>637.30366152193119</v>
      </c>
      <c r="R48" s="72">
        <v>48.739078746540009</v>
      </c>
      <c r="S48" s="27">
        <v>22063.676647446759</v>
      </c>
      <c r="T48" s="68">
        <v>7.1530216557661666</v>
      </c>
      <c r="U48" s="100">
        <v>269.92377020216537</v>
      </c>
      <c r="V48" s="65">
        <v>68.488632070782856</v>
      </c>
    </row>
    <row r="49" spans="1:14" x14ac:dyDescent="0.2">
      <c r="A49" s="17"/>
      <c r="B49" s="10"/>
      <c r="C49" s="9"/>
      <c r="D49" s="11"/>
      <c r="E49" s="12"/>
      <c r="F49" s="13"/>
      <c r="G49" s="14"/>
      <c r="H49" s="13"/>
      <c r="I49" s="14"/>
      <c r="J49" s="13"/>
      <c r="K49" s="14"/>
      <c r="L49" s="14"/>
      <c r="M49" s="13"/>
      <c r="N49" s="14"/>
    </row>
    <row r="50" spans="1:14" x14ac:dyDescent="0.2">
      <c r="A50" s="15" t="str">
        <f>VLOOKUP("&lt;Legende_1&gt;",Uebersetzungen!$B$3:$E$212,Uebersetzungen!$B$2+1,FALSE)</f>
        <v>(): Extrapolation aufgrund von 49 oder weniger Beobachtungen. Die Resultate sind mit grosser Vorsicht zu interpretieren.</v>
      </c>
    </row>
    <row r="51" spans="1:14" x14ac:dyDescent="0.2">
      <c r="A51" s="15" t="str">
        <f>VLOOKUP("&lt;Legende_2&gt;",Uebersetzungen!$B$3:$E$212,Uebersetzungen!$B$2+1,FALSE)</f>
        <v>X: Extrapolation aufgrund von 4 oder weniger Beobachtungen. Die Resultate werden aus Gründen des Datenschutzes nicht publiziert.</v>
      </c>
    </row>
    <row r="52" spans="1:14" x14ac:dyDescent="0.2">
      <c r="A52" s="15" t="str">
        <f>VLOOKUP("&lt;Legende_3&gt;",Uebersetzungen!$B$3:$E$212,Uebersetzungen!$B$2+1,FALSE)</f>
        <v>Die Grundgesamtheit der Strukturerhebung enthält alle Personen der ständigen Wohnbevölkerung ab vollendetem 15. Altersjahr, die in Privathaushalten leben.</v>
      </c>
    </row>
    <row r="53" spans="1:14" x14ac:dyDescent="0.2">
      <c r="A53" s="15" t="str">
        <f>VLOOKUP("&lt;Legende_4&gt;",Uebersetzungen!$B$3:$E$212,Uebersetzungen!$B$2+1,FALSE)</f>
        <v>Aus der Grundgesamtheit ausgeschlossen wurden neben den Personen, die in Kollektivhaushalten leben, auch Diplomaten, internationale Funktionäre und deren Angehörige.</v>
      </c>
    </row>
    <row r="54" spans="1:14" x14ac:dyDescent="0.2">
      <c r="A54" s="15" t="str">
        <f>VLOOKUP("&lt;Legende_5&gt;",Uebersetzungen!$B$3:$E$212,Uebersetzungen!$B$2+1,FALSE)</f>
        <v>* inkl. andere aus dem Islam hervorgegangene Gemeinschaften</v>
      </c>
    </row>
    <row r="56" spans="1:14" x14ac:dyDescent="0.2">
      <c r="A56" s="1" t="str">
        <f>VLOOKUP("&lt;quelle_1&gt;",Uebersetzungen!$B$3:$E$212,Uebersetzungen!$B$2+1,FALSE)</f>
        <v>Quelle: BFS (Strukturerhebung)</v>
      </c>
    </row>
    <row r="57" spans="1:14" x14ac:dyDescent="0.2">
      <c r="A57" s="1" t="str">
        <f>VLOOKUP("&lt;aktualisierung&gt;",Uebersetzungen!$B$3:$E$212,Uebersetzungen!$B$2+1,FALSE)</f>
        <v>Letztmals aktualisiert am: 27.01.2024</v>
      </c>
    </row>
  </sheetData>
  <sheetProtection sheet="1" objects="1" scenarios="1"/>
  <mergeCells count="13">
    <mergeCell ref="U13:V13"/>
    <mergeCell ref="A15:B15"/>
    <mergeCell ref="Q13:R13"/>
    <mergeCell ref="S13:T13"/>
    <mergeCell ref="A7:B7"/>
    <mergeCell ref="K13:L13"/>
    <mergeCell ref="M13:N13"/>
    <mergeCell ref="O13:P13"/>
    <mergeCell ref="C13:D13"/>
    <mergeCell ref="E13:F13"/>
    <mergeCell ref="G13:H13"/>
    <mergeCell ref="I13:J13"/>
    <mergeCell ref="C12:V12"/>
  </mergeCells>
  <pageMargins left="0.7" right="0.7" top="0.78740157499999996" bottom="0.78740157499999996" header="0.3" footer="0.3"/>
  <pageSetup paperSize="9" orientation="portrait" r:id="rId1"/>
  <ignoredErrors>
    <ignoredError sqref="D14:G14 H14:I14 J14:K14 L14:N14 O14:R14 T14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3</xdr:col>
                    <xdr:colOff>600075</xdr:colOff>
                    <xdr:row>1</xdr:row>
                    <xdr:rowOff>104775</xdr:rowOff>
                  </from>
                  <to>
                    <xdr:col>5</xdr:col>
                    <xdr:colOff>228600</xdr:colOff>
                    <xdr:row>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3</xdr:col>
                    <xdr:colOff>600075</xdr:colOff>
                    <xdr:row>2</xdr:row>
                    <xdr:rowOff>95250</xdr:rowOff>
                  </from>
                  <to>
                    <xdr:col>5</xdr:col>
                    <xdr:colOff>600075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3</xdr:col>
                    <xdr:colOff>600075</xdr:colOff>
                    <xdr:row>3</xdr:row>
                    <xdr:rowOff>57150</xdr:rowOff>
                  </from>
                  <to>
                    <xdr:col>5</xdr:col>
                    <xdr:colOff>228600</xdr:colOff>
                    <xdr:row>4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workbookViewId="0">
      <selection activeCell="C77" sqref="C77"/>
    </sheetView>
  </sheetViews>
  <sheetFormatPr baseColWidth="10" defaultColWidth="12.5703125" defaultRowHeight="12.75" x14ac:dyDescent="0.2"/>
  <cols>
    <col min="1" max="1" width="8.5703125" style="35" bestFit="1" customWidth="1"/>
    <col min="2" max="2" width="16.7109375" style="35" bestFit="1" customWidth="1"/>
    <col min="3" max="3" width="52.85546875" style="43" bestFit="1" customWidth="1"/>
    <col min="4" max="4" width="55.85546875" style="43" bestFit="1" customWidth="1"/>
    <col min="5" max="5" width="53.42578125" style="43" customWidth="1"/>
    <col min="6" max="6" width="22.42578125" style="35" customWidth="1"/>
    <col min="7" max="8" width="12.5703125" style="35"/>
    <col min="9" max="9" width="37.7109375" style="35" customWidth="1"/>
    <col min="10" max="16384" width="12.5703125" style="35"/>
  </cols>
  <sheetData>
    <row r="1" spans="1:6" x14ac:dyDescent="0.2">
      <c r="A1" s="32" t="s">
        <v>54</v>
      </c>
      <c r="B1" s="32" t="s">
        <v>55</v>
      </c>
      <c r="C1" s="33" t="s">
        <v>56</v>
      </c>
      <c r="D1" s="33" t="s">
        <v>57</v>
      </c>
      <c r="E1" s="33" t="s">
        <v>58</v>
      </c>
      <c r="F1" s="34"/>
    </row>
    <row r="2" spans="1:6" ht="12.75" customHeight="1" x14ac:dyDescent="0.2">
      <c r="A2" s="36" t="s">
        <v>59</v>
      </c>
      <c r="B2" s="37">
        <v>1</v>
      </c>
      <c r="C2" s="38"/>
      <c r="D2" s="38"/>
      <c r="E2" s="38"/>
      <c r="F2" s="34"/>
    </row>
    <row r="3" spans="1:6" ht="12.75" customHeight="1" x14ac:dyDescent="0.2">
      <c r="A3" s="36"/>
      <c r="B3" s="39" t="s">
        <v>60</v>
      </c>
      <c r="C3" s="40" t="s">
        <v>61</v>
      </c>
      <c r="D3" s="40" t="s">
        <v>62</v>
      </c>
      <c r="E3" s="40" t="s">
        <v>63</v>
      </c>
      <c r="F3" s="34"/>
    </row>
    <row r="4" spans="1:6" ht="12.75" customHeight="1" x14ac:dyDescent="0.2">
      <c r="A4" s="36" t="s">
        <v>64</v>
      </c>
      <c r="B4" s="39" t="s">
        <v>65</v>
      </c>
      <c r="C4" s="41" t="s">
        <v>236</v>
      </c>
      <c r="D4" s="40" t="s">
        <v>237</v>
      </c>
      <c r="E4" s="40" t="s">
        <v>238</v>
      </c>
      <c r="F4" s="34"/>
    </row>
    <row r="5" spans="1:6" ht="12.75" customHeight="1" x14ac:dyDescent="0.2">
      <c r="A5" s="36"/>
      <c r="B5" s="39" t="s">
        <v>66</v>
      </c>
      <c r="C5" s="40" t="s">
        <v>67</v>
      </c>
      <c r="D5" s="40" t="s">
        <v>68</v>
      </c>
      <c r="E5" s="40" t="s">
        <v>69</v>
      </c>
      <c r="F5" s="34"/>
    </row>
    <row r="6" spans="1:6" ht="12.75" customHeight="1" x14ac:dyDescent="0.2">
      <c r="A6" s="36"/>
      <c r="B6" s="36"/>
      <c r="C6" s="36"/>
      <c r="D6" s="36"/>
      <c r="E6" s="36"/>
      <c r="F6" s="34"/>
    </row>
    <row r="7" spans="1:6" ht="12.75" customHeight="1" x14ac:dyDescent="0.2">
      <c r="A7" s="36" t="s">
        <v>70</v>
      </c>
      <c r="B7" s="39" t="s">
        <v>71</v>
      </c>
      <c r="C7" s="40" t="s">
        <v>0</v>
      </c>
      <c r="D7" s="40" t="s">
        <v>0</v>
      </c>
      <c r="E7" s="40" t="s">
        <v>72</v>
      </c>
      <c r="F7" s="34"/>
    </row>
    <row r="8" spans="1:6" ht="12.75" customHeight="1" x14ac:dyDescent="0.2">
      <c r="A8" s="36"/>
      <c r="B8" s="39" t="s">
        <v>73</v>
      </c>
      <c r="C8" s="40" t="s">
        <v>41</v>
      </c>
      <c r="D8" s="40" t="s">
        <v>74</v>
      </c>
      <c r="E8" s="40" t="s">
        <v>75</v>
      </c>
      <c r="F8" s="34"/>
    </row>
    <row r="9" spans="1:6" ht="12.75" customHeight="1" x14ac:dyDescent="0.2">
      <c r="A9" s="36"/>
      <c r="B9" s="39" t="s">
        <v>76</v>
      </c>
      <c r="C9" s="40" t="s">
        <v>40</v>
      </c>
      <c r="D9" s="40" t="s">
        <v>77</v>
      </c>
      <c r="E9" s="40" t="s">
        <v>78</v>
      </c>
      <c r="F9" s="34"/>
    </row>
    <row r="10" spans="1:6" ht="12.75" customHeight="1" x14ac:dyDescent="0.2">
      <c r="A10" s="36"/>
      <c r="B10" s="39" t="s">
        <v>79</v>
      </c>
      <c r="C10" s="40" t="s">
        <v>43</v>
      </c>
      <c r="D10" s="40" t="s">
        <v>225</v>
      </c>
      <c r="E10" s="40" t="s">
        <v>223</v>
      </c>
      <c r="F10" s="34"/>
    </row>
    <row r="11" spans="1:6" ht="12.75" customHeight="1" x14ac:dyDescent="0.2">
      <c r="A11" s="36"/>
      <c r="B11" s="39" t="s">
        <v>82</v>
      </c>
      <c r="C11" s="40" t="s">
        <v>42</v>
      </c>
      <c r="D11" s="40" t="s">
        <v>80</v>
      </c>
      <c r="E11" s="40" t="s">
        <v>81</v>
      </c>
      <c r="F11" s="34"/>
    </row>
    <row r="12" spans="1:6" ht="12.75" customHeight="1" x14ac:dyDescent="0.2">
      <c r="A12" s="36"/>
      <c r="B12" s="39" t="s">
        <v>85</v>
      </c>
      <c r="C12" s="40" t="s">
        <v>44</v>
      </c>
      <c r="D12" s="40" t="s">
        <v>83</v>
      </c>
      <c r="E12" s="40" t="s">
        <v>84</v>
      </c>
      <c r="F12" s="34"/>
    </row>
    <row r="13" spans="1:6" ht="12.75" customHeight="1" x14ac:dyDescent="0.2">
      <c r="A13" s="36"/>
      <c r="B13" s="39" t="s">
        <v>86</v>
      </c>
      <c r="C13" s="40" t="s">
        <v>245</v>
      </c>
      <c r="D13" s="40" t="s">
        <v>243</v>
      </c>
      <c r="E13" s="40" t="s">
        <v>244</v>
      </c>
      <c r="F13" s="34"/>
    </row>
    <row r="14" spans="1:6" ht="12.75" customHeight="1" x14ac:dyDescent="0.2">
      <c r="A14" s="36"/>
      <c r="B14" s="39" t="s">
        <v>89</v>
      </c>
      <c r="C14" s="40" t="s">
        <v>45</v>
      </c>
      <c r="D14" s="40" t="s">
        <v>87</v>
      </c>
      <c r="E14" s="40" t="s">
        <v>88</v>
      </c>
      <c r="F14" s="34"/>
    </row>
    <row r="15" spans="1:6" ht="12.75" customHeight="1" x14ac:dyDescent="0.2">
      <c r="A15" s="36"/>
      <c r="B15" s="39" t="s">
        <v>91</v>
      </c>
      <c r="C15" s="40" t="s">
        <v>46</v>
      </c>
      <c r="D15" s="40" t="s">
        <v>90</v>
      </c>
      <c r="E15" s="40" t="s">
        <v>224</v>
      </c>
      <c r="F15" s="34"/>
    </row>
    <row r="16" spans="1:6" ht="12.75" customHeight="1" x14ac:dyDescent="0.2">
      <c r="A16" s="36"/>
      <c r="B16" s="39" t="s">
        <v>121</v>
      </c>
      <c r="C16" s="40" t="s">
        <v>47</v>
      </c>
      <c r="D16" s="40" t="s">
        <v>92</v>
      </c>
      <c r="E16" s="40" t="s">
        <v>93</v>
      </c>
      <c r="F16" s="34"/>
    </row>
    <row r="17" spans="1:6" ht="12.75" customHeight="1" x14ac:dyDescent="0.2">
      <c r="A17" s="36"/>
      <c r="B17" s="36"/>
      <c r="C17" s="36"/>
      <c r="D17" s="36"/>
      <c r="E17" s="36"/>
      <c r="F17" s="34"/>
    </row>
    <row r="18" spans="1:6" ht="12.75" customHeight="1" x14ac:dyDescent="0.2">
      <c r="A18" s="36"/>
      <c r="B18" s="39" t="s">
        <v>119</v>
      </c>
      <c r="C18" s="40" t="s">
        <v>94</v>
      </c>
      <c r="D18" s="40" t="s">
        <v>95</v>
      </c>
      <c r="E18" s="40" t="s">
        <v>96</v>
      </c>
      <c r="F18" s="34"/>
    </row>
    <row r="19" spans="1:6" ht="12.75" customHeight="1" x14ac:dyDescent="0.2">
      <c r="A19" s="36"/>
      <c r="B19" s="39" t="s">
        <v>120</v>
      </c>
      <c r="C19" s="40" t="s">
        <v>97</v>
      </c>
      <c r="D19" s="40" t="s">
        <v>98</v>
      </c>
      <c r="E19" s="40" t="s">
        <v>99</v>
      </c>
      <c r="F19" s="34"/>
    </row>
    <row r="20" spans="1:6" ht="12.75" customHeight="1" x14ac:dyDescent="0.2">
      <c r="A20" s="36"/>
      <c r="B20" s="34"/>
      <c r="C20" s="42"/>
      <c r="D20" s="42"/>
      <c r="E20" s="42"/>
      <c r="F20" s="34"/>
    </row>
    <row r="21" spans="1:6" ht="12.75" customHeight="1" x14ac:dyDescent="0.2">
      <c r="A21" s="36" t="s">
        <v>64</v>
      </c>
      <c r="B21" s="35" t="s">
        <v>100</v>
      </c>
      <c r="C21" s="43" t="s">
        <v>0</v>
      </c>
      <c r="D21" s="43" t="s">
        <v>0</v>
      </c>
      <c r="E21" s="43" t="s">
        <v>72</v>
      </c>
      <c r="F21" s="34"/>
    </row>
    <row r="22" spans="1:6" ht="12.75" customHeight="1" x14ac:dyDescent="0.2">
      <c r="A22" s="34"/>
      <c r="B22" s="35" t="s">
        <v>101</v>
      </c>
      <c r="C22" s="43" t="s">
        <v>1</v>
      </c>
      <c r="D22" s="43" t="s">
        <v>134</v>
      </c>
      <c r="E22" s="43" t="s">
        <v>127</v>
      </c>
      <c r="F22" s="34"/>
    </row>
    <row r="23" spans="1:6" ht="12.75" customHeight="1" x14ac:dyDescent="0.2">
      <c r="A23" s="34"/>
      <c r="B23" s="35" t="s">
        <v>102</v>
      </c>
      <c r="C23" s="43" t="s">
        <v>4</v>
      </c>
      <c r="D23" s="43" t="s">
        <v>135</v>
      </c>
      <c r="E23" s="43" t="s">
        <v>128</v>
      </c>
      <c r="F23" s="34"/>
    </row>
    <row r="24" spans="1:6" ht="12.75" customHeight="1" x14ac:dyDescent="0.2">
      <c r="A24" s="34"/>
      <c r="B24" s="35" t="s">
        <v>103</v>
      </c>
      <c r="C24" s="43" t="s">
        <v>9</v>
      </c>
      <c r="D24" s="43" t="s">
        <v>136</v>
      </c>
      <c r="E24" s="43" t="s">
        <v>129</v>
      </c>
      <c r="F24" s="34"/>
    </row>
    <row r="25" spans="1:6" ht="12.75" customHeight="1" x14ac:dyDescent="0.2">
      <c r="A25" s="34"/>
      <c r="B25" s="35" t="s">
        <v>104</v>
      </c>
      <c r="C25" s="43" t="s">
        <v>13</v>
      </c>
      <c r="D25" s="43" t="s">
        <v>137</v>
      </c>
      <c r="E25" s="43" t="s">
        <v>130</v>
      </c>
      <c r="F25" s="34"/>
    </row>
    <row r="26" spans="1:6" ht="12.75" customHeight="1" x14ac:dyDescent="0.2">
      <c r="A26" s="34"/>
      <c r="B26" s="35" t="s">
        <v>105</v>
      </c>
      <c r="C26" s="43" t="s">
        <v>19</v>
      </c>
      <c r="D26" s="43" t="s">
        <v>138</v>
      </c>
      <c r="E26" s="43" t="s">
        <v>131</v>
      </c>
      <c r="F26" s="34"/>
    </row>
    <row r="27" spans="1:6" ht="12.75" customHeight="1" x14ac:dyDescent="0.2">
      <c r="A27" s="34"/>
      <c r="B27" s="35" t="s">
        <v>106</v>
      </c>
      <c r="C27" s="43" t="s">
        <v>49</v>
      </c>
      <c r="D27" s="43" t="s">
        <v>133</v>
      </c>
      <c r="E27" s="43" t="s">
        <v>132</v>
      </c>
      <c r="F27" s="34"/>
    </row>
    <row r="28" spans="1:6" ht="12.75" customHeight="1" x14ac:dyDescent="0.2">
      <c r="A28" s="34"/>
      <c r="B28" s="35" t="s">
        <v>107</v>
      </c>
      <c r="C28" s="43" t="s">
        <v>52</v>
      </c>
      <c r="D28" s="43" t="s">
        <v>140</v>
      </c>
      <c r="E28" s="43" t="s">
        <v>139</v>
      </c>
      <c r="F28" s="34"/>
    </row>
    <row r="29" spans="1:6" ht="12.75" customHeight="1" x14ac:dyDescent="0.2">
      <c r="A29" s="34"/>
      <c r="B29" s="34"/>
      <c r="C29" s="34"/>
      <c r="D29" s="34"/>
      <c r="E29" s="34"/>
      <c r="F29" s="34"/>
    </row>
    <row r="30" spans="1:6" ht="12.75" customHeight="1" x14ac:dyDescent="0.2">
      <c r="A30" s="34"/>
      <c r="B30" s="35" t="s">
        <v>141</v>
      </c>
      <c r="C30" s="43" t="s">
        <v>2</v>
      </c>
      <c r="D30" s="43" t="s">
        <v>226</v>
      </c>
      <c r="E30" s="43" t="s">
        <v>193</v>
      </c>
      <c r="F30" s="34"/>
    </row>
    <row r="31" spans="1:6" ht="12.75" customHeight="1" x14ac:dyDescent="0.2">
      <c r="A31" s="34"/>
      <c r="B31" s="35" t="s">
        <v>142</v>
      </c>
      <c r="C31" s="43" t="s">
        <v>3</v>
      </c>
      <c r="D31" s="43" t="s">
        <v>227</v>
      </c>
      <c r="E31" s="43" t="s">
        <v>194</v>
      </c>
      <c r="F31" s="34"/>
    </row>
    <row r="32" spans="1:6" x14ac:dyDescent="0.2">
      <c r="A32" s="34"/>
      <c r="B32" s="35" t="s">
        <v>143</v>
      </c>
      <c r="C32" s="43" t="s">
        <v>5</v>
      </c>
      <c r="D32" s="43" t="s">
        <v>5</v>
      </c>
      <c r="E32" s="43" t="s">
        <v>5</v>
      </c>
      <c r="F32" s="34"/>
    </row>
    <row r="33" spans="1:6" x14ac:dyDescent="0.2">
      <c r="A33" s="34"/>
      <c r="B33" s="35" t="s">
        <v>144</v>
      </c>
      <c r="C33" s="43" t="s">
        <v>6</v>
      </c>
      <c r="D33" s="43" t="s">
        <v>6</v>
      </c>
      <c r="E33" s="43" t="s">
        <v>6</v>
      </c>
      <c r="F33" s="34"/>
    </row>
    <row r="34" spans="1:6" x14ac:dyDescent="0.2">
      <c r="A34" s="34"/>
      <c r="B34" s="35" t="s">
        <v>145</v>
      </c>
      <c r="C34" s="43" t="s">
        <v>7</v>
      </c>
      <c r="D34" s="43" t="s">
        <v>7</v>
      </c>
      <c r="E34" s="43" t="s">
        <v>7</v>
      </c>
      <c r="F34" s="34"/>
    </row>
    <row r="35" spans="1:6" x14ac:dyDescent="0.2">
      <c r="A35" s="34"/>
      <c r="B35" s="35" t="s">
        <v>146</v>
      </c>
      <c r="C35" s="43" t="s">
        <v>8</v>
      </c>
      <c r="D35" s="43" t="s">
        <v>173</v>
      </c>
      <c r="E35" s="43" t="s">
        <v>195</v>
      </c>
      <c r="F35" s="34"/>
    </row>
    <row r="36" spans="1:6" x14ac:dyDescent="0.2">
      <c r="A36" s="34"/>
      <c r="B36" s="35" t="s">
        <v>147</v>
      </c>
      <c r="C36" s="43" t="s">
        <v>10</v>
      </c>
      <c r="D36" s="43" t="s">
        <v>174</v>
      </c>
      <c r="E36" s="43" t="s">
        <v>196</v>
      </c>
      <c r="F36" s="34"/>
    </row>
    <row r="37" spans="1:6" x14ac:dyDescent="0.2">
      <c r="A37" s="34"/>
      <c r="B37" s="35" t="s">
        <v>148</v>
      </c>
      <c r="C37" s="43" t="s">
        <v>48</v>
      </c>
      <c r="D37" s="43" t="s">
        <v>175</v>
      </c>
      <c r="E37" s="43" t="s">
        <v>197</v>
      </c>
      <c r="F37" s="34"/>
    </row>
    <row r="38" spans="1:6" x14ac:dyDescent="0.2">
      <c r="A38" s="34"/>
      <c r="B38" s="35" t="s">
        <v>149</v>
      </c>
      <c r="C38" s="43" t="s">
        <v>11</v>
      </c>
      <c r="D38" s="43" t="s">
        <v>176</v>
      </c>
      <c r="E38" s="43" t="s">
        <v>198</v>
      </c>
      <c r="F38" s="34"/>
    </row>
    <row r="39" spans="1:6" x14ac:dyDescent="0.2">
      <c r="A39" s="34"/>
      <c r="B39" s="35" t="s">
        <v>150</v>
      </c>
      <c r="C39" s="43" t="s">
        <v>12</v>
      </c>
      <c r="D39" s="43" t="s">
        <v>177</v>
      </c>
      <c r="E39" s="43" t="s">
        <v>199</v>
      </c>
      <c r="F39" s="34"/>
    </row>
    <row r="40" spans="1:6" x14ac:dyDescent="0.2">
      <c r="A40" s="34"/>
      <c r="B40" s="35" t="s">
        <v>151</v>
      </c>
      <c r="C40" s="43" t="s">
        <v>38</v>
      </c>
      <c r="D40" s="43" t="s">
        <v>178</v>
      </c>
      <c r="E40" s="43" t="s">
        <v>200</v>
      </c>
      <c r="F40" s="34"/>
    </row>
    <row r="41" spans="1:6" x14ac:dyDescent="0.2">
      <c r="A41" s="34"/>
      <c r="B41" s="39" t="s">
        <v>152</v>
      </c>
      <c r="C41" s="40" t="s">
        <v>14</v>
      </c>
      <c r="D41" s="40" t="s">
        <v>179</v>
      </c>
      <c r="E41" s="40" t="s">
        <v>201</v>
      </c>
      <c r="F41" s="34"/>
    </row>
    <row r="42" spans="1:6" x14ac:dyDescent="0.2">
      <c r="A42" s="34"/>
      <c r="B42" s="35" t="s">
        <v>153</v>
      </c>
      <c r="C42" s="43" t="s">
        <v>15</v>
      </c>
      <c r="D42" s="43" t="s">
        <v>180</v>
      </c>
      <c r="E42" s="43" t="s">
        <v>202</v>
      </c>
      <c r="F42" s="34"/>
    </row>
    <row r="43" spans="1:6" x14ac:dyDescent="0.2">
      <c r="A43" s="34"/>
      <c r="B43" s="35" t="s">
        <v>154</v>
      </c>
      <c r="C43" s="43" t="s">
        <v>16</v>
      </c>
      <c r="D43" s="43" t="s">
        <v>181</v>
      </c>
      <c r="E43" s="43" t="s">
        <v>203</v>
      </c>
      <c r="F43" s="34"/>
    </row>
    <row r="44" spans="1:6" x14ac:dyDescent="0.2">
      <c r="A44" s="34"/>
      <c r="B44" s="35" t="s">
        <v>155</v>
      </c>
      <c r="C44" s="43" t="s">
        <v>17</v>
      </c>
      <c r="D44" s="43" t="s">
        <v>182</v>
      </c>
      <c r="E44" s="43" t="s">
        <v>204</v>
      </c>
      <c r="F44" s="34"/>
    </row>
    <row r="45" spans="1:6" x14ac:dyDescent="0.2">
      <c r="A45" s="34"/>
      <c r="B45" s="35" t="s">
        <v>156</v>
      </c>
      <c r="C45" s="43" t="s">
        <v>18</v>
      </c>
      <c r="D45" s="43" t="s">
        <v>183</v>
      </c>
      <c r="E45" s="43" t="s">
        <v>205</v>
      </c>
      <c r="F45" s="34"/>
    </row>
    <row r="46" spans="1:6" x14ac:dyDescent="0.2">
      <c r="A46" s="34"/>
      <c r="B46" s="35" t="s">
        <v>157</v>
      </c>
      <c r="C46" s="43" t="s">
        <v>20</v>
      </c>
      <c r="D46" s="43" t="s">
        <v>228</v>
      </c>
      <c r="E46" s="43" t="s">
        <v>206</v>
      </c>
      <c r="F46" s="34"/>
    </row>
    <row r="47" spans="1:6" x14ac:dyDescent="0.2">
      <c r="A47" s="34"/>
      <c r="B47" s="35" t="s">
        <v>158</v>
      </c>
      <c r="C47" s="43" t="s">
        <v>21</v>
      </c>
      <c r="D47" s="43" t="s">
        <v>229</v>
      </c>
      <c r="E47" s="43" t="s">
        <v>207</v>
      </c>
      <c r="F47" s="34"/>
    </row>
    <row r="48" spans="1:6" x14ac:dyDescent="0.2">
      <c r="A48" s="34"/>
      <c r="B48" s="35" t="s">
        <v>159</v>
      </c>
      <c r="C48" s="43" t="s">
        <v>22</v>
      </c>
      <c r="D48" s="43" t="s">
        <v>229</v>
      </c>
      <c r="E48" s="43" t="s">
        <v>208</v>
      </c>
      <c r="F48" s="34"/>
    </row>
    <row r="49" spans="1:6" x14ac:dyDescent="0.2">
      <c r="A49" s="34"/>
      <c r="B49" s="35" t="s">
        <v>160</v>
      </c>
      <c r="C49" s="43" t="s">
        <v>23</v>
      </c>
      <c r="D49" s="43" t="s">
        <v>230</v>
      </c>
      <c r="E49" s="43" t="s">
        <v>209</v>
      </c>
      <c r="F49" s="34"/>
    </row>
    <row r="50" spans="1:6" x14ac:dyDescent="0.2">
      <c r="A50" s="34"/>
      <c r="B50" s="35" t="s">
        <v>161</v>
      </c>
      <c r="C50" s="43" t="s">
        <v>24</v>
      </c>
      <c r="D50" s="43" t="s">
        <v>184</v>
      </c>
      <c r="E50" s="43" t="s">
        <v>210</v>
      </c>
      <c r="F50" s="34"/>
    </row>
    <row r="51" spans="1:6" x14ac:dyDescent="0.2">
      <c r="A51" s="34"/>
      <c r="B51" s="35" t="s">
        <v>162</v>
      </c>
      <c r="C51" s="43" t="s">
        <v>25</v>
      </c>
      <c r="D51" s="43" t="s">
        <v>185</v>
      </c>
      <c r="E51" s="43" t="s">
        <v>211</v>
      </c>
      <c r="F51" s="34"/>
    </row>
    <row r="52" spans="1:6" x14ac:dyDescent="0.2">
      <c r="A52" s="34"/>
      <c r="B52" s="35" t="s">
        <v>163</v>
      </c>
      <c r="C52" s="43" t="s">
        <v>26</v>
      </c>
      <c r="D52" s="43" t="s">
        <v>186</v>
      </c>
      <c r="E52" s="43" t="s">
        <v>212</v>
      </c>
      <c r="F52" s="34"/>
    </row>
    <row r="53" spans="1:6" x14ac:dyDescent="0.2">
      <c r="A53" s="34"/>
      <c r="B53" s="35" t="s">
        <v>164</v>
      </c>
      <c r="C53" s="43" t="s">
        <v>27</v>
      </c>
      <c r="D53" s="43" t="s">
        <v>231</v>
      </c>
      <c r="E53" s="43" t="s">
        <v>213</v>
      </c>
      <c r="F53" s="34"/>
    </row>
    <row r="54" spans="1:6" x14ac:dyDescent="0.2">
      <c r="A54" s="34"/>
      <c r="B54" s="35" t="s">
        <v>165</v>
      </c>
      <c r="C54" s="43" t="s">
        <v>28</v>
      </c>
      <c r="D54" s="43" t="s">
        <v>187</v>
      </c>
      <c r="E54" s="43" t="s">
        <v>214</v>
      </c>
      <c r="F54" s="34"/>
    </row>
    <row r="55" spans="1:6" x14ac:dyDescent="0.2">
      <c r="A55" s="34"/>
      <c r="B55" s="35" t="s">
        <v>166</v>
      </c>
      <c r="C55" s="43" t="s">
        <v>29</v>
      </c>
      <c r="D55" s="43" t="s">
        <v>188</v>
      </c>
      <c r="E55" s="43" t="s">
        <v>215</v>
      </c>
      <c r="F55" s="34"/>
    </row>
    <row r="56" spans="1:6" x14ac:dyDescent="0.2">
      <c r="A56" s="34"/>
      <c r="B56" s="35" t="s">
        <v>167</v>
      </c>
      <c r="C56" s="43" t="s">
        <v>50</v>
      </c>
      <c r="D56" s="43" t="s">
        <v>189</v>
      </c>
      <c r="E56" s="43" t="s">
        <v>216</v>
      </c>
      <c r="F56" s="34"/>
    </row>
    <row r="57" spans="1:6" ht="25.5" x14ac:dyDescent="0.2">
      <c r="A57" s="34"/>
      <c r="B57" s="35" t="s">
        <v>168</v>
      </c>
      <c r="C57" s="43" t="s">
        <v>30</v>
      </c>
      <c r="D57" s="43" t="s">
        <v>190</v>
      </c>
      <c r="E57" s="43" t="s">
        <v>217</v>
      </c>
      <c r="F57" s="34"/>
    </row>
    <row r="58" spans="1:6" ht="25.5" x14ac:dyDescent="0.2">
      <c r="A58" s="34"/>
      <c r="B58" s="46" t="s">
        <v>239</v>
      </c>
      <c r="C58" s="43" t="s">
        <v>51</v>
      </c>
      <c r="D58" s="43" t="s">
        <v>191</v>
      </c>
      <c r="E58" s="43" t="s">
        <v>218</v>
      </c>
      <c r="F58" s="34"/>
    </row>
    <row r="59" spans="1:6" ht="25.5" x14ac:dyDescent="0.2">
      <c r="A59" s="34"/>
      <c r="B59" s="35" t="s">
        <v>169</v>
      </c>
      <c r="C59" s="43" t="s">
        <v>31</v>
      </c>
      <c r="D59" s="43" t="s">
        <v>232</v>
      </c>
      <c r="E59" s="43" t="s">
        <v>219</v>
      </c>
      <c r="F59" s="34"/>
    </row>
    <row r="60" spans="1:6" x14ac:dyDescent="0.2">
      <c r="A60" s="34"/>
      <c r="B60" s="35" t="s">
        <v>170</v>
      </c>
      <c r="C60" s="43" t="s">
        <v>53</v>
      </c>
      <c r="D60" s="43" t="s">
        <v>192</v>
      </c>
      <c r="E60" s="43" t="s">
        <v>220</v>
      </c>
      <c r="F60" s="34"/>
    </row>
    <row r="61" spans="1:6" x14ac:dyDescent="0.2">
      <c r="A61" s="34"/>
      <c r="B61" s="35" t="s">
        <v>171</v>
      </c>
      <c r="C61" s="43" t="s">
        <v>39</v>
      </c>
      <c r="D61" s="43" t="s">
        <v>233</v>
      </c>
      <c r="E61" s="43" t="s">
        <v>221</v>
      </c>
      <c r="F61" s="34"/>
    </row>
    <row r="62" spans="1:6" x14ac:dyDescent="0.2">
      <c r="A62" s="34"/>
      <c r="B62" s="35" t="s">
        <v>172</v>
      </c>
      <c r="C62" s="43" t="s">
        <v>32</v>
      </c>
      <c r="D62" s="43" t="s">
        <v>234</v>
      </c>
      <c r="E62" s="43" t="s">
        <v>222</v>
      </c>
      <c r="F62" s="34"/>
    </row>
    <row r="63" spans="1:6" x14ac:dyDescent="0.2">
      <c r="A63" s="34"/>
      <c r="B63" s="34"/>
      <c r="C63" s="42"/>
      <c r="D63" s="42"/>
      <c r="E63" s="42"/>
      <c r="F63" s="34"/>
    </row>
    <row r="64" spans="1:6" ht="38.25" x14ac:dyDescent="0.2">
      <c r="A64" s="36"/>
      <c r="B64" s="35" t="s">
        <v>108</v>
      </c>
      <c r="C64" s="43" t="s">
        <v>33</v>
      </c>
      <c r="D64" s="43" t="s">
        <v>112</v>
      </c>
      <c r="E64" s="43" t="s">
        <v>113</v>
      </c>
      <c r="F64" s="42"/>
    </row>
    <row r="65" spans="1:6" ht="38.25" x14ac:dyDescent="0.2">
      <c r="A65" s="34"/>
      <c r="B65" s="35" t="s">
        <v>109</v>
      </c>
      <c r="C65" s="43" t="s">
        <v>34</v>
      </c>
      <c r="D65" s="43" t="s">
        <v>124</v>
      </c>
      <c r="E65" s="43" t="s">
        <v>115</v>
      </c>
      <c r="F65" s="42"/>
    </row>
    <row r="66" spans="1:6" ht="51" x14ac:dyDescent="0.2">
      <c r="A66" s="34"/>
      <c r="B66" s="35" t="s">
        <v>110</v>
      </c>
      <c r="C66" s="43" t="s">
        <v>35</v>
      </c>
      <c r="D66" s="43" t="s">
        <v>125</v>
      </c>
      <c r="E66" s="43" t="s">
        <v>122</v>
      </c>
      <c r="F66" s="42"/>
    </row>
    <row r="67" spans="1:6" ht="38.25" x14ac:dyDescent="0.2">
      <c r="A67" s="34"/>
      <c r="B67" s="35" t="s">
        <v>111</v>
      </c>
      <c r="C67" s="43" t="s">
        <v>36</v>
      </c>
      <c r="D67" s="43" t="s">
        <v>126</v>
      </c>
      <c r="E67" s="43" t="s">
        <v>123</v>
      </c>
      <c r="F67" s="42"/>
    </row>
    <row r="68" spans="1:6" ht="25.5" x14ac:dyDescent="0.2">
      <c r="A68" s="34"/>
      <c r="B68" s="35" t="s">
        <v>114</v>
      </c>
      <c r="C68" s="43" t="s">
        <v>240</v>
      </c>
      <c r="D68" s="43" t="s">
        <v>241</v>
      </c>
      <c r="E68" s="43" t="s">
        <v>242</v>
      </c>
      <c r="F68" s="42"/>
    </row>
    <row r="69" spans="1:6" x14ac:dyDescent="0.2">
      <c r="A69" s="34"/>
      <c r="B69" s="34"/>
      <c r="C69" s="34"/>
      <c r="D69" s="34"/>
      <c r="E69" s="34"/>
      <c r="F69" s="42"/>
    </row>
    <row r="70" spans="1:6" x14ac:dyDescent="0.2">
      <c r="A70" s="34" t="s">
        <v>70</v>
      </c>
      <c r="B70" s="35" t="s">
        <v>116</v>
      </c>
      <c r="C70" s="43" t="s">
        <v>37</v>
      </c>
      <c r="D70" s="43" t="s">
        <v>117</v>
      </c>
      <c r="E70" s="40" t="s">
        <v>235</v>
      </c>
      <c r="F70" s="34"/>
    </row>
    <row r="71" spans="1:6" x14ac:dyDescent="0.2">
      <c r="A71" s="34" t="s">
        <v>64</v>
      </c>
      <c r="B71" s="44" t="s">
        <v>118</v>
      </c>
      <c r="C71" s="45" t="s">
        <v>247</v>
      </c>
      <c r="D71" s="45" t="s">
        <v>248</v>
      </c>
      <c r="E71" s="45" t="s">
        <v>249</v>
      </c>
      <c r="F71" s="34"/>
    </row>
    <row r="72" spans="1:6" x14ac:dyDescent="0.2">
      <c r="A72" s="34"/>
      <c r="B72" s="34"/>
      <c r="C72" s="42"/>
      <c r="D72" s="42"/>
      <c r="E72" s="42"/>
      <c r="F72" s="34"/>
    </row>
    <row r="73" spans="1:6" x14ac:dyDescent="0.2">
      <c r="A73" s="36"/>
      <c r="B73" s="37"/>
      <c r="C73" s="38"/>
      <c r="D73" s="38"/>
      <c r="E73" s="38"/>
      <c r="F73" s="34"/>
    </row>
    <row r="87" spans="7:7" x14ac:dyDescent="0.2">
      <c r="G87" s="39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A83D2D9087C0499BBDDADFE9564913" ma:contentTypeVersion="6" ma:contentTypeDescription="Ein neues Dokument erstellen." ma:contentTypeScope="" ma:versionID="1f3af7de7f4500b720d1e69b73bf35ac">
  <xsd:schema xmlns:xsd="http://www.w3.org/2001/XMLSchema" xmlns:xs="http://www.w3.org/2001/XMLSchema" xmlns:p="http://schemas.microsoft.com/office/2006/metadata/properties" xmlns:ns1="http://schemas.microsoft.com/sharepoint/v3" xmlns:ns2="9d1f6504-c754-4527-a358-047ce8521f96" targetNamespace="http://schemas.microsoft.com/office/2006/metadata/properties" ma:root="true" ma:fieldsID="c79055d5800c49357077d70b127ffa6c" ns1:_="" ns2:_="">
    <xsd:import namespace="http://schemas.microsoft.com/sharepoint/v3"/>
    <xsd:import namespace="9d1f6504-c754-4527-a358-047ce8521f9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Kategorie" minOccurs="0"/>
                <xsd:element ref="ns2:Benutzerdefinierte_x0020_ID" minOccurs="0"/>
                <xsd:element ref="ns2:Titel_DE" minOccurs="0"/>
                <xsd:element ref="ns2:Titel_RM" minOccurs="0"/>
                <xsd:element ref="ns2:Titel_I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1f6504-c754-4527-a358-047ce8521f96" elementFormDefault="qualified">
    <xsd:import namespace="http://schemas.microsoft.com/office/2006/documentManagement/types"/>
    <xsd:import namespace="http://schemas.microsoft.com/office/infopath/2007/PartnerControls"/>
    <xsd:element name="Kategorie" ma:index="10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1" nillable="true" ma:displayName="Benutzerdefinierte ID" ma:internalName="Benutzerdefinierte_x0020_ID" ma:percentage="FALSE">
      <xsd:simpleType>
        <xsd:restriction base="dms:Number"/>
      </xsd:simpleType>
    </xsd:element>
    <xsd:element name="Titel_DE" ma:index="12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3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4" nillable="true" ma:displayName="Titel_IT" ma:internalName="Titel_I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9d1f6504-c754-4527-a358-047ce8521f96">1029</Benutzerdefinierte_x0020_ID>
    <Titel_RM xmlns="9d1f6504-c754-4527-a358-047ce8521f96">Enquista da structura da la populaziun – detagls concernent la religiun Grischun, 2023</Titel_RM>
    <Titel_DE xmlns="9d1f6504-c754-4527-a358-047ce8521f96">Strukturerhebung Bevölkerung - Details Religion Graubünden, 2023</Titel_DE>
    <PublishingExpirationDate xmlns="http://schemas.microsoft.com/sharepoint/v3" xsi:nil="true"/>
    <Kategorie xmlns="9d1f6504-c754-4527-a358-047ce8521f96">Sprache, Religion</Kategorie>
    <PublishingStartDate xmlns="http://schemas.microsoft.com/sharepoint/v3" xsi:nil="true"/>
    <Titel_IT xmlns="9d1f6504-c754-4527-a358-047ce8521f96">Rilevazione strutturale della popolazione - dettagli religione nei Grigioni, 2023</Titel_IT>
  </documentManagement>
</p:properties>
</file>

<file path=customXml/itemProps1.xml><?xml version="1.0" encoding="utf-8"?>
<ds:datastoreItem xmlns:ds="http://schemas.openxmlformats.org/officeDocument/2006/customXml" ds:itemID="{975AC7B8-F8F9-4616-9E27-D2C7041C33D0}"/>
</file>

<file path=customXml/itemProps2.xml><?xml version="1.0" encoding="utf-8"?>
<ds:datastoreItem xmlns:ds="http://schemas.openxmlformats.org/officeDocument/2006/customXml" ds:itemID="{28FC9315-DB80-486F-9F3A-757707004F03}"/>
</file>

<file path=customXml/itemProps3.xml><?xml version="1.0" encoding="utf-8"?>
<ds:datastoreItem xmlns:ds="http://schemas.openxmlformats.org/officeDocument/2006/customXml" ds:itemID="{57AD8A6E-DE32-4D0B-BB8D-0736C86232C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2023</vt:lpstr>
      <vt:lpstr>Uebersetzungen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Luzius.Stricker@awt.gr.ch</dc:creator>
  <cp:lastModifiedBy>Stricker Luzius</cp:lastModifiedBy>
  <dcterms:created xsi:type="dcterms:W3CDTF">2017-05-04T09:10:20Z</dcterms:created>
  <dcterms:modified xsi:type="dcterms:W3CDTF">2025-01-27T07:57:33Z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0x01010095A83D2D9087C0499BBDDADFE9564913</vt:lpwstr>
  </property>
</Properties>
</file>